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<sst xmlns="http://schemas.openxmlformats.org/spreadsheetml/2006/main" count="652" uniqueCount="190">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</sst>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5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4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4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89" fillId="41" borderId="10" xfId="0" applyNumberFormat="1" applyFont="1" applyFill="1" applyBorder="1" applyAlignment="1">
      <alignment/>
    </xf>
    <xf numFmtId="182" fontId="89" fillId="41" borderId="10" xfId="0" applyNumberFormat="1" applyFont="1" applyFill="1" applyBorder="1" applyAlignment="1">
      <alignment/>
    </xf>
    <xf numFmtId="0" fontId="88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8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8" fillId="0" borderId="10" xfId="55" applyFont="1" applyFill="1" applyBorder="1" applyAlignment="1" applyProtection="1">
      <alignment horizontal="right" vertical="center" wrapText="1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89" fillId="41" borderId="10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82" fontId="49" fillId="0" borderId="10" xfId="0" applyNumberFormat="1" applyFont="1" applyBorder="1" applyAlignment="1">
      <alignment/>
    </xf>
    <xf numFmtId="182" fontId="49" fillId="0" borderId="10" xfId="0" applyNumberFormat="1" applyFont="1" applyFill="1" applyBorder="1" applyAlignment="1">
      <alignment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4" fillId="44" borderId="10" xfId="0" applyNumberFormat="1" applyFont="1" applyFill="1" applyBorder="1" applyAlignment="1">
      <alignment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</sheetNames>
    <sheetDataSet>
      <sheetData sheetId="21">
        <row r="6">
          <cell r="G6">
            <v>27880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59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40" t="s">
        <v>188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46" t="s">
        <v>131</v>
      </c>
      <c r="E3" s="346" t="s">
        <v>179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185</v>
      </c>
      <c r="V3" s="353" t="s">
        <v>186</v>
      </c>
      <c r="W3" s="353"/>
      <c r="X3" s="353"/>
      <c r="Y3" s="194"/>
    </row>
    <row r="4" spans="1:24" ht="22.5" customHeight="1">
      <c r="A4" s="342"/>
      <c r="B4" s="344"/>
      <c r="C4" s="345"/>
      <c r="D4" s="346"/>
      <c r="E4" s="346"/>
      <c r="F4" s="354" t="s">
        <v>182</v>
      </c>
      <c r="G4" s="356" t="s">
        <v>31</v>
      </c>
      <c r="H4" s="358" t="s">
        <v>183</v>
      </c>
      <c r="I4" s="351" t="s">
        <v>184</v>
      </c>
      <c r="J4" s="358" t="s">
        <v>132</v>
      </c>
      <c r="K4" s="351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189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46"/>
      <c r="E5" s="346"/>
      <c r="F5" s="355"/>
      <c r="G5" s="357"/>
      <c r="H5" s="359"/>
      <c r="I5" s="352"/>
      <c r="J5" s="359"/>
      <c r="K5" s="352"/>
      <c r="L5" s="363" t="s">
        <v>135</v>
      </c>
      <c r="M5" s="364"/>
      <c r="N5" s="365"/>
      <c r="O5" s="366" t="s">
        <v>168</v>
      </c>
      <c r="P5" s="367"/>
      <c r="Q5" s="368"/>
      <c r="R5" s="369" t="s">
        <v>187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375700.43999999994</v>
      </c>
      <c r="H8" s="103">
        <f>G8-F8</f>
        <v>-112187.90000000008</v>
      </c>
      <c r="I8" s="210">
        <f aca="true" t="shared" si="0" ref="I8:I15">G8/F8</f>
        <v>0.7700541480454317</v>
      </c>
      <c r="J8" s="104">
        <f aca="true" t="shared" si="1" ref="J8:J52">G8-E8</f>
        <v>-1204933.36</v>
      </c>
      <c r="K8" s="156">
        <f aca="true" t="shared" si="2" ref="K8:K14">G8/E8</f>
        <v>0.23768974192504294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-24611.820000000065</v>
      </c>
      <c r="T8" s="143">
        <f aca="true" t="shared" si="6" ref="T8:T20">G8/R8</f>
        <v>0.9385184455754614</v>
      </c>
      <c r="U8" s="103">
        <f>U9+U15+U18+U19+U23+U17</f>
        <v>126345.40100000001</v>
      </c>
      <c r="V8" s="103">
        <f>V9+V15+V18+V19+V23+V17</f>
        <v>8582.339999999986</v>
      </c>
      <c r="W8" s="103">
        <f>V8-U8</f>
        <v>-117763.06100000003</v>
      </c>
      <c r="X8" s="143">
        <f aca="true" t="shared" si="7" ref="X8:X15">V8/U8</f>
        <v>0.06792760110041508</v>
      </c>
      <c r="Y8" s="199">
        <f aca="true" t="shared" si="8" ref="Y8:Y22">T8-Q8</f>
        <v>-0.25029796595566967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223571.21</v>
      </c>
      <c r="H9" s="102">
        <f>G9-F9</f>
        <v>-60144.93000000002</v>
      </c>
      <c r="I9" s="208">
        <f t="shared" si="0"/>
        <v>0.7880101921589656</v>
      </c>
      <c r="J9" s="108">
        <f t="shared" si="1"/>
        <v>-732631.79</v>
      </c>
      <c r="K9" s="148">
        <f t="shared" si="2"/>
        <v>0.233811450079115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475.10999999998603</v>
      </c>
      <c r="T9" s="144">
        <f t="shared" si="6"/>
        <v>1.0021296203743588</v>
      </c>
      <c r="U9" s="107">
        <f>F9-березень!F9</f>
        <v>74519.801</v>
      </c>
      <c r="V9" s="110">
        <f>G9-березень!G9</f>
        <v>4775.679999999993</v>
      </c>
      <c r="W9" s="111">
        <f>V9-U9</f>
        <v>-69744.12100000001</v>
      </c>
      <c r="X9" s="148">
        <f t="shared" si="7"/>
        <v>0.06408605412137362</v>
      </c>
      <c r="Y9" s="200">
        <f t="shared" si="8"/>
        <v>-0.2303737715127987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204421.36</v>
      </c>
      <c r="H10" s="71">
        <f aca="true" t="shared" si="9" ref="H10:H47">G10-F10</f>
        <v>-57757.340000000026</v>
      </c>
      <c r="I10" s="209">
        <f t="shared" si="0"/>
        <v>0.7797023938252802</v>
      </c>
      <c r="J10" s="72">
        <f t="shared" si="1"/>
        <v>-677381.64</v>
      </c>
      <c r="K10" s="75">
        <f t="shared" si="2"/>
        <v>0.23182202827615692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55.5</v>
      </c>
      <c r="T10" s="145">
        <f t="shared" si="6"/>
        <v>1.0002715717781825</v>
      </c>
      <c r="U10" s="73">
        <f>F10-березень!F10</f>
        <v>69300</v>
      </c>
      <c r="V10" s="98">
        <f>G10-березень!G10</f>
        <v>4586.469999999972</v>
      </c>
      <c r="W10" s="74">
        <f aca="true" t="shared" si="10" ref="W10:W52">V10-U10</f>
        <v>-64713.53000000003</v>
      </c>
      <c r="X10" s="75">
        <f t="shared" si="7"/>
        <v>0.06618282828282789</v>
      </c>
      <c r="Y10" s="198">
        <f t="shared" si="8"/>
        <v>-0.24187987284480839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12023.19</v>
      </c>
      <c r="H11" s="71">
        <f t="shared" si="9"/>
        <v>-2511.51</v>
      </c>
      <c r="I11" s="209">
        <f t="shared" si="0"/>
        <v>0.8272059278829285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-405.9599999999991</v>
      </c>
      <c r="T11" s="145">
        <f t="shared" si="6"/>
        <v>0.9673380721931911</v>
      </c>
      <c r="U11" s="73">
        <f>F11-березень!F11</f>
        <v>3780</v>
      </c>
      <c r="V11" s="98">
        <f>G11-березень!G11</f>
        <v>0</v>
      </c>
      <c r="W11" s="74">
        <f t="shared" si="10"/>
        <v>-3780</v>
      </c>
      <c r="X11" s="75">
        <f t="shared" si="7"/>
        <v>0</v>
      </c>
      <c r="Y11" s="198">
        <f t="shared" si="8"/>
        <v>-0.2063264023003043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3394.62</v>
      </c>
      <c r="H12" s="71">
        <f t="shared" si="9"/>
        <v>250.21000000000004</v>
      </c>
      <c r="I12" s="209">
        <f t="shared" si="0"/>
        <v>1.07957295645288</v>
      </c>
      <c r="J12" s="72">
        <f t="shared" si="1"/>
        <v>-8605.380000000001</v>
      </c>
      <c r="K12" s="75">
        <f t="shared" si="2"/>
        <v>0.282885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785.0299999999997</v>
      </c>
      <c r="T12" s="145">
        <f t="shared" si="6"/>
        <v>1.3008250338175729</v>
      </c>
      <c r="U12" s="73">
        <f>F12-березень!F12</f>
        <v>850.0009999999997</v>
      </c>
      <c r="V12" s="98">
        <f>G12-березень!G12</f>
        <v>115.4699999999998</v>
      </c>
      <c r="W12" s="74">
        <f t="shared" si="10"/>
        <v>-734.531</v>
      </c>
      <c r="X12" s="75">
        <f t="shared" si="7"/>
        <v>0.13584689900364805</v>
      </c>
      <c r="Y12" s="198">
        <f t="shared" si="8"/>
        <v>0.300170438936755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3424.43</v>
      </c>
      <c r="H13" s="71">
        <f t="shared" si="9"/>
        <v>-189.26999999999998</v>
      </c>
      <c r="I13" s="209">
        <f t="shared" si="0"/>
        <v>0.9476243185654593</v>
      </c>
      <c r="J13" s="72">
        <f t="shared" si="1"/>
        <v>-8575.57</v>
      </c>
      <c r="K13" s="75">
        <f t="shared" si="2"/>
        <v>0.2853691666666667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215.0999999999999</v>
      </c>
      <c r="T13" s="145">
        <f t="shared" si="6"/>
        <v>1.0670233350886322</v>
      </c>
      <c r="U13" s="73">
        <f>F13-березень!F13</f>
        <v>556.7999999999997</v>
      </c>
      <c r="V13" s="98">
        <f>G13-березень!G13</f>
        <v>73.75</v>
      </c>
      <c r="W13" s="74">
        <f t="shared" si="10"/>
        <v>-483.0499999999997</v>
      </c>
      <c r="X13" s="75">
        <f t="shared" si="7"/>
        <v>0.13245330459770122</v>
      </c>
      <c r="Y13" s="198">
        <f t="shared" si="8"/>
        <v>-0.12857566499207085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28314.59</v>
      </c>
      <c r="H19" s="102">
        <f t="shared" si="9"/>
        <v>-16675.41</v>
      </c>
      <c r="I19" s="208">
        <f t="shared" si="12"/>
        <v>0.6293529673260725</v>
      </c>
      <c r="J19" s="108">
        <f t="shared" si="1"/>
        <v>-123413.41</v>
      </c>
      <c r="K19" s="108">
        <f t="shared" si="11"/>
        <v>18.66141384582938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-7790.170000000002</v>
      </c>
      <c r="T19" s="146">
        <f t="shared" si="6"/>
        <v>0.78423426717142</v>
      </c>
      <c r="U19" s="107">
        <f>F19-березень!F19</f>
        <v>11375</v>
      </c>
      <c r="V19" s="110">
        <f>G19-березень!G19</f>
        <v>709.0099999999984</v>
      </c>
      <c r="W19" s="111">
        <f t="shared" si="10"/>
        <v>-10665.990000000002</v>
      </c>
      <c r="X19" s="148">
        <f t="shared" si="13"/>
        <v>0.06233054945054931</v>
      </c>
      <c r="Y19" s="197">
        <f t="shared" si="8"/>
        <v>-0.45994634631537057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12674.99</v>
      </c>
      <c r="H20" s="170">
        <f t="shared" si="9"/>
        <v>-5015.01</v>
      </c>
      <c r="I20" s="211">
        <f t="shared" si="12"/>
        <v>0.7165059355568117</v>
      </c>
      <c r="J20" s="171">
        <f t="shared" si="1"/>
        <v>-54033.01</v>
      </c>
      <c r="K20" s="171">
        <f t="shared" si="11"/>
        <v>19.000704563170835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-9304.590000000002</v>
      </c>
      <c r="T20" s="172">
        <f t="shared" si="6"/>
        <v>0.5766711647811286</v>
      </c>
      <c r="U20" s="136">
        <f>F20-березень!F20</f>
        <v>4475</v>
      </c>
      <c r="V20" s="124">
        <f>G20-березень!G20</f>
        <v>36.61999999999898</v>
      </c>
      <c r="W20" s="116">
        <f t="shared" si="10"/>
        <v>-4438.380000000001</v>
      </c>
      <c r="X20" s="180">
        <f t="shared" si="13"/>
        <v>0.00818324022346346</v>
      </c>
      <c r="Y20" s="197">
        <f t="shared" si="8"/>
        <v>-0.5216478841590054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3525.34</v>
      </c>
      <c r="H21" s="170">
        <f t="shared" si="9"/>
        <v>-1674.6599999999999</v>
      </c>
      <c r="I21" s="211">
        <f t="shared" si="12"/>
        <v>0.67795</v>
      </c>
      <c r="J21" s="171">
        <f t="shared" si="1"/>
        <v>-12170.66</v>
      </c>
      <c r="K21" s="171">
        <f t="shared" si="11"/>
        <v>22.460117227319063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406.4000000000001</v>
      </c>
      <c r="T21" s="172"/>
      <c r="U21" s="136">
        <f>F21-березень!F21</f>
        <v>1300</v>
      </c>
      <c r="V21" s="124">
        <f>G21-березень!G21</f>
        <v>12.480000000000018</v>
      </c>
      <c r="W21" s="116">
        <f t="shared" si="10"/>
        <v>-1287.52</v>
      </c>
      <c r="X21" s="180">
        <f t="shared" si="13"/>
        <v>0.009600000000000015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12114.26</v>
      </c>
      <c r="H22" s="170">
        <f t="shared" si="9"/>
        <v>-9985.74</v>
      </c>
      <c r="I22" s="211">
        <f t="shared" si="12"/>
        <v>0.5481565610859729</v>
      </c>
      <c r="J22" s="171">
        <f t="shared" si="1"/>
        <v>-57209.74</v>
      </c>
      <c r="K22" s="171">
        <f t="shared" si="11"/>
        <v>17.4748427672956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1108.0200000000004</v>
      </c>
      <c r="T22" s="172"/>
      <c r="U22" s="136">
        <f>F22-березень!F22</f>
        <v>5600</v>
      </c>
      <c r="V22" s="124">
        <f>G22-березень!G22</f>
        <v>659.9099999999999</v>
      </c>
      <c r="W22" s="116">
        <f t="shared" si="10"/>
        <v>-4940.09</v>
      </c>
      <c r="X22" s="180">
        <f t="shared" si="13"/>
        <v>0.1178410714285714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123282.78</v>
      </c>
      <c r="H23" s="102">
        <f t="shared" si="9"/>
        <v>-35714.42000000001</v>
      </c>
      <c r="I23" s="208">
        <f t="shared" si="12"/>
        <v>0.7753770506650431</v>
      </c>
      <c r="J23" s="108">
        <f t="shared" si="1"/>
        <v>-348284.4199999999</v>
      </c>
      <c r="K23" s="108">
        <f t="shared" si="11"/>
        <v>26.143205040554136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-18026.51000000001</v>
      </c>
      <c r="T23" s="147">
        <f aca="true" t="shared" si="14" ref="T23:T41">G23/R23</f>
        <v>0.8724322371161867</v>
      </c>
      <c r="U23" s="107">
        <f>F23-березень!F23</f>
        <v>40445.600000000006</v>
      </c>
      <c r="V23" s="110">
        <f>G23-березень!G23</f>
        <v>3097.649999999994</v>
      </c>
      <c r="W23" s="111">
        <f t="shared" si="10"/>
        <v>-37347.95000000001</v>
      </c>
      <c r="X23" s="148">
        <f t="shared" si="13"/>
        <v>0.07658805902248932</v>
      </c>
      <c r="Y23" s="197">
        <f>T23-Q23</f>
        <v>-0.2224393166485087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51747.64</v>
      </c>
      <c r="H24" s="102">
        <f t="shared" si="9"/>
        <v>-18042.37000000001</v>
      </c>
      <c r="I24" s="208">
        <f t="shared" si="12"/>
        <v>0.7414763230439427</v>
      </c>
      <c r="J24" s="108">
        <f t="shared" si="1"/>
        <v>-165094.36</v>
      </c>
      <c r="K24" s="148">
        <f aca="true" t="shared" si="15" ref="K24:K41">G24/E24</f>
        <v>0.23864214497191502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-15929.36</v>
      </c>
      <c r="T24" s="147">
        <f t="shared" si="14"/>
        <v>0.7646266826248208</v>
      </c>
      <c r="U24" s="107">
        <f>F24-березень!F24</f>
        <v>19921.000000000015</v>
      </c>
      <c r="V24" s="110">
        <f>G24-березень!G24</f>
        <v>680.6200000000026</v>
      </c>
      <c r="W24" s="111">
        <f t="shared" si="10"/>
        <v>-19240.380000000012</v>
      </c>
      <c r="X24" s="148">
        <f t="shared" si="13"/>
        <v>0.034165955524321175</v>
      </c>
      <c r="Y24" s="197">
        <f aca="true" t="shared" si="16" ref="Y24:Y99">T24-Q24</f>
        <v>-0.2817513622075579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7118.77</v>
      </c>
      <c r="H25" s="170">
        <f t="shared" si="9"/>
        <v>-4117.73</v>
      </c>
      <c r="I25" s="211">
        <f t="shared" si="12"/>
        <v>0.6335398033195391</v>
      </c>
      <c r="J25" s="171">
        <f t="shared" si="1"/>
        <v>-21665.23</v>
      </c>
      <c r="K25" s="180">
        <f t="shared" si="15"/>
        <v>0.2473169121734297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-2627.539999999999</v>
      </c>
      <c r="T25" s="152">
        <f t="shared" si="14"/>
        <v>0.7304066872488153</v>
      </c>
      <c r="U25" s="136">
        <f>F25-березень!F25</f>
        <v>4879</v>
      </c>
      <c r="V25" s="124">
        <f>G25-березень!G25</f>
        <v>177.02000000000044</v>
      </c>
      <c r="W25" s="116">
        <f t="shared" si="10"/>
        <v>-4701.98</v>
      </c>
      <c r="X25" s="180">
        <f t="shared" si="13"/>
        <v>0.03628202500512409</v>
      </c>
      <c r="Y25" s="197">
        <f t="shared" si="16"/>
        <v>-0.40219025870572334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528.79</v>
      </c>
      <c r="H26" s="158">
        <f t="shared" si="9"/>
        <v>248.17999999999995</v>
      </c>
      <c r="I26" s="212">
        <f t="shared" si="12"/>
        <v>1.884430348170058</v>
      </c>
      <c r="J26" s="176">
        <f t="shared" si="1"/>
        <v>-993.21</v>
      </c>
      <c r="K26" s="191">
        <f t="shared" si="15"/>
        <v>0.347431011826544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328.54999999999995</v>
      </c>
      <c r="T26" s="162">
        <f t="shared" si="14"/>
        <v>2.64078106272473</v>
      </c>
      <c r="U26" s="167">
        <f>F26-березень!F26</f>
        <v>69</v>
      </c>
      <c r="V26" s="167">
        <f>G26-березень!G26</f>
        <v>17.22999999999996</v>
      </c>
      <c r="W26" s="176">
        <f t="shared" si="10"/>
        <v>-51.77000000000004</v>
      </c>
      <c r="X26" s="191">
        <f t="shared" si="13"/>
        <v>0.24971014492753568</v>
      </c>
      <c r="Y26" s="197">
        <f t="shared" si="16"/>
        <v>1.634759474902747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6589.98</v>
      </c>
      <c r="H27" s="158">
        <f t="shared" si="9"/>
        <v>-4365.91</v>
      </c>
      <c r="I27" s="212">
        <f t="shared" si="12"/>
        <v>0.6015011103616411</v>
      </c>
      <c r="J27" s="176">
        <f t="shared" si="1"/>
        <v>-20672.02</v>
      </c>
      <c r="K27" s="191">
        <f t="shared" si="15"/>
        <v>0.24172767955395788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-2956.09</v>
      </c>
      <c r="T27" s="162">
        <f t="shared" si="14"/>
        <v>0.6903343470140068</v>
      </c>
      <c r="U27" s="167">
        <f>F27-березень!F27</f>
        <v>4809.999999999999</v>
      </c>
      <c r="V27" s="167">
        <f>G27-березень!G27</f>
        <v>159.78999999999996</v>
      </c>
      <c r="W27" s="176">
        <f t="shared" si="10"/>
        <v>-4650.209999999999</v>
      </c>
      <c r="X27" s="191">
        <f t="shared" si="13"/>
        <v>0.033220374220374216</v>
      </c>
      <c r="Y27" s="197">
        <f t="shared" si="16"/>
        <v>-0.4502740220775231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81.85</v>
      </c>
      <c r="H28" s="218">
        <f t="shared" si="9"/>
        <v>-50.95000000000002</v>
      </c>
      <c r="I28" s="220">
        <f t="shared" si="12"/>
        <v>0.6163403614457831</v>
      </c>
      <c r="J28" s="221">
        <f t="shared" si="1"/>
        <v>-234.15</v>
      </c>
      <c r="K28" s="222">
        <f t="shared" si="15"/>
        <v>0.25901898734177214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-87.22</v>
      </c>
      <c r="T28" s="222">
        <f t="shared" si="14"/>
        <v>0.4841190039628556</v>
      </c>
      <c r="U28" s="206">
        <f>F28-березень!F28</f>
        <v>65.00000000000001</v>
      </c>
      <c r="V28" s="206">
        <f>G28-березень!G28</f>
        <v>0.28000000000000114</v>
      </c>
      <c r="W28" s="221">
        <f t="shared" si="10"/>
        <v>-64.72000000000001</v>
      </c>
      <c r="X28" s="222">
        <f t="shared" si="13"/>
        <v>0.004307692307692324</v>
      </c>
      <c r="Y28" s="338">
        <f t="shared" si="16"/>
        <v>-0.661181999987708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446.94</v>
      </c>
      <c r="H29" s="218">
        <f t="shared" si="9"/>
        <v>299.13</v>
      </c>
      <c r="I29" s="220">
        <f t="shared" si="12"/>
        <v>3.0237467018469655</v>
      </c>
      <c r="J29" s="221">
        <f t="shared" si="1"/>
        <v>-759.06</v>
      </c>
      <c r="K29" s="222">
        <f t="shared" si="15"/>
        <v>0.3705970149253731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415.77</v>
      </c>
      <c r="T29" s="222">
        <f t="shared" si="14"/>
        <v>14.338787295476418</v>
      </c>
      <c r="U29" s="206">
        <f>F29-березень!F29</f>
        <v>4</v>
      </c>
      <c r="V29" s="206">
        <f>G29-березень!G29</f>
        <v>16.94999999999999</v>
      </c>
      <c r="W29" s="221">
        <f t="shared" si="10"/>
        <v>12.949999999999989</v>
      </c>
      <c r="X29" s="222">
        <f t="shared" si="13"/>
        <v>4.237499999999997</v>
      </c>
      <c r="Y29" s="338">
        <f t="shared" si="16"/>
        <v>13.363832162814614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570.12</v>
      </c>
      <c r="H30" s="218">
        <f t="shared" si="9"/>
        <v>240.03000000000003</v>
      </c>
      <c r="I30" s="220">
        <f t="shared" si="12"/>
        <v>1.7271653185494866</v>
      </c>
      <c r="J30" s="221">
        <f t="shared" si="1"/>
        <v>-1784.88</v>
      </c>
      <c r="K30" s="222">
        <f t="shared" si="15"/>
        <v>0.2420891719745223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498.71000000000004</v>
      </c>
      <c r="T30" s="222">
        <f t="shared" si="14"/>
        <v>7.983755776501891</v>
      </c>
      <c r="U30" s="206">
        <f>F30-березень!F30</f>
        <v>10</v>
      </c>
      <c r="V30" s="206">
        <f>G30-березень!G30</f>
        <v>17.16999999999996</v>
      </c>
      <c r="W30" s="221">
        <f t="shared" si="10"/>
        <v>7.169999999999959</v>
      </c>
      <c r="X30" s="222">
        <f t="shared" si="13"/>
        <v>1.7169999999999959</v>
      </c>
      <c r="Y30" s="338">
        <f t="shared" si="16"/>
        <v>6.923064412916709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6019.86</v>
      </c>
      <c r="H31" s="218">
        <f t="shared" si="9"/>
        <v>-4605.94</v>
      </c>
      <c r="I31" s="220">
        <f t="shared" si="12"/>
        <v>0.5665324022661823</v>
      </c>
      <c r="J31" s="221">
        <f t="shared" si="1"/>
        <v>-18887.14</v>
      </c>
      <c r="K31" s="222">
        <f t="shared" si="15"/>
        <v>0.2416934998193279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-3454.8</v>
      </c>
      <c r="T31" s="222">
        <f t="shared" si="14"/>
        <v>0.635364224151579</v>
      </c>
      <c r="U31" s="206">
        <f>F31-березень!F31</f>
        <v>4799.999999999999</v>
      </c>
      <c r="V31" s="206">
        <f>G31-березень!G31</f>
        <v>142.6199999999999</v>
      </c>
      <c r="W31" s="221"/>
      <c r="X31" s="222">
        <f t="shared" si="13"/>
        <v>0.029712499999999982</v>
      </c>
      <c r="Y31" s="338">
        <f t="shared" si="16"/>
        <v>-0.5134280610857921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345.07</v>
      </c>
      <c r="H32" s="170">
        <f t="shared" si="9"/>
        <v>173.04</v>
      </c>
      <c r="I32" s="211">
        <f t="shared" si="12"/>
        <v>2.005871068999593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240.56</v>
      </c>
      <c r="T32" s="150">
        <f t="shared" si="14"/>
        <v>3.3017893024590945</v>
      </c>
      <c r="U32" s="136">
        <f>F32-березень!F32</f>
        <v>12</v>
      </c>
      <c r="V32" s="124">
        <f>G32-березень!G32</f>
        <v>0</v>
      </c>
      <c r="W32" s="116">
        <f t="shared" si="10"/>
        <v>-12</v>
      </c>
      <c r="X32" s="180">
        <f t="shared" si="13"/>
        <v>0</v>
      </c>
      <c r="Y32" s="198">
        <f t="shared" si="16"/>
        <v>2.864756168528586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38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223.73</v>
      </c>
      <c r="H34" s="71">
        <f t="shared" si="9"/>
        <v>79.54999999999998</v>
      </c>
      <c r="I34" s="209">
        <f t="shared" si="12"/>
        <v>1.551740879456235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75.81</v>
      </c>
      <c r="T34" s="75">
        <f t="shared" si="14"/>
        <v>1.5125067604110332</v>
      </c>
      <c r="U34" s="73">
        <f>F34-березень!F34</f>
        <v>12</v>
      </c>
      <c r="V34" s="98">
        <f>G34-березень!G34</f>
        <v>0</v>
      </c>
      <c r="W34" s="74"/>
      <c r="X34" s="75">
        <f t="shared" si="13"/>
        <v>0</v>
      </c>
      <c r="Y34" s="338">
        <f t="shared" si="16"/>
        <v>1.0619113307361057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44283.8</v>
      </c>
      <c r="H35" s="102">
        <f t="shared" si="9"/>
        <v>-14097.68</v>
      </c>
      <c r="I35" s="211">
        <f t="shared" si="12"/>
        <v>0.7585247924513048</v>
      </c>
      <c r="J35" s="171">
        <f t="shared" si="1"/>
        <v>-143492.2</v>
      </c>
      <c r="K35" s="180">
        <f t="shared" si="15"/>
        <v>0.23583312031356513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-13542.36</v>
      </c>
      <c r="T35" s="149">
        <f t="shared" si="14"/>
        <v>0.7658091078501494</v>
      </c>
      <c r="U35" s="136">
        <f>F35-березень!F35</f>
        <v>15030.000000000007</v>
      </c>
      <c r="V35" s="124">
        <f>G35-березень!G35</f>
        <v>503.6000000000058</v>
      </c>
      <c r="W35" s="116">
        <f t="shared" si="10"/>
        <v>-14526.400000000001</v>
      </c>
      <c r="X35" s="180">
        <f t="shared" si="13"/>
        <v>0.0335063206919498</v>
      </c>
      <c r="Y35" s="198">
        <f t="shared" si="16"/>
        <v>-0.2706446720770699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30535.350000000002</v>
      </c>
      <c r="H37" s="158">
        <f t="shared" si="9"/>
        <v>-8550.899999999998</v>
      </c>
      <c r="I37" s="212">
        <f t="shared" si="12"/>
        <v>0.7812299721769165</v>
      </c>
      <c r="J37" s="176">
        <f t="shared" si="1"/>
        <v>-96550.65</v>
      </c>
      <c r="K37" s="191">
        <f t="shared" si="15"/>
        <v>0.240273122137765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-7986.2800000000025</v>
      </c>
      <c r="T37" s="162">
        <f t="shared" si="14"/>
        <v>0.7926806316347464</v>
      </c>
      <c r="U37" s="167">
        <f>F37-березень!F37</f>
        <v>10100</v>
      </c>
      <c r="V37" s="167">
        <f>G37-березень!G37</f>
        <v>404.8400000000038</v>
      </c>
      <c r="W37" s="176">
        <f t="shared" si="10"/>
        <v>-9695.159999999996</v>
      </c>
      <c r="X37" s="191">
        <f>V37/U37</f>
        <v>0.040083168316832056</v>
      </c>
      <c r="Y37" s="197">
        <f t="shared" si="16"/>
        <v>-0.24422343062943075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13476.55</v>
      </c>
      <c r="H38" s="218">
        <f t="shared" si="9"/>
        <v>-5007.850000000002</v>
      </c>
      <c r="I38" s="220">
        <f t="shared" si="12"/>
        <v>0.7290769513752136</v>
      </c>
      <c r="J38" s="221">
        <f t="shared" si="1"/>
        <v>-43813.45</v>
      </c>
      <c r="K38" s="222">
        <f t="shared" si="15"/>
        <v>0.235233897713388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-5445.32</v>
      </c>
      <c r="T38" s="222">
        <f t="shared" si="14"/>
        <v>0.7122208322961737</v>
      </c>
      <c r="U38" s="206">
        <f>F38-березень!F38</f>
        <v>4700.000000000002</v>
      </c>
      <c r="V38" s="206">
        <f>G38-березень!G38</f>
        <v>92.97999999999956</v>
      </c>
      <c r="W38" s="221">
        <f t="shared" si="10"/>
        <v>-4607.020000000002</v>
      </c>
      <c r="X38" s="222">
        <f t="shared" si="18"/>
        <v>1.9782978723404157</v>
      </c>
      <c r="Y38" s="338">
        <f t="shared" si="16"/>
        <v>-0.324772816502369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25488.74</v>
      </c>
      <c r="H39" s="218">
        <f t="shared" si="9"/>
        <v>-7504.7099999999955</v>
      </c>
      <c r="I39" s="220">
        <f t="shared" si="12"/>
        <v>0.7725393979714157</v>
      </c>
      <c r="J39" s="221">
        <f t="shared" si="1"/>
        <v>-80497.26</v>
      </c>
      <c r="K39" s="222">
        <f t="shared" si="15"/>
        <v>0.2404915743588776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-6797.139999999999</v>
      </c>
      <c r="T39" s="222">
        <f t="shared" si="14"/>
        <v>0.7894701956397038</v>
      </c>
      <c r="U39" s="206">
        <f>F39-березень!F39</f>
        <v>8599.999999999996</v>
      </c>
      <c r="V39" s="206">
        <f>G39-березень!G39</f>
        <v>284.0300000000025</v>
      </c>
      <c r="W39" s="221">
        <f t="shared" si="10"/>
        <v>-8315.969999999994</v>
      </c>
      <c r="X39" s="222">
        <f t="shared" si="18"/>
        <v>3.3026744186046813</v>
      </c>
      <c r="Y39" s="338">
        <f t="shared" si="16"/>
        <v>-0.24761185278961884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271.91</v>
      </c>
      <c r="H40" s="218">
        <f t="shared" si="9"/>
        <v>-538.9200000000001</v>
      </c>
      <c r="I40" s="220">
        <f t="shared" si="12"/>
        <v>0.3353477301037209</v>
      </c>
      <c r="J40" s="221">
        <f t="shared" si="1"/>
        <v>-3128.09</v>
      </c>
      <c r="K40" s="222">
        <f t="shared" si="15"/>
        <v>0.07997352941176471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-110.75999999999999</v>
      </c>
      <c r="T40" s="222">
        <f t="shared" si="14"/>
        <v>0.7105600125434448</v>
      </c>
      <c r="U40" s="206">
        <f>F40-березень!F40</f>
        <v>230</v>
      </c>
      <c r="V40" s="206">
        <f>G40-березень!G40</f>
        <v>5.7900000000000205</v>
      </c>
      <c r="W40" s="221">
        <f t="shared" si="10"/>
        <v>-224.20999999999998</v>
      </c>
      <c r="X40" s="222">
        <f t="shared" si="18"/>
        <v>2.517391304347835</v>
      </c>
      <c r="Y40" s="338">
        <f t="shared" si="16"/>
        <v>-0.3006104470037887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5046.61</v>
      </c>
      <c r="H41" s="218">
        <f t="shared" si="9"/>
        <v>-1046.1900000000005</v>
      </c>
      <c r="I41" s="220">
        <f t="shared" si="12"/>
        <v>0.828290769432773</v>
      </c>
      <c r="J41" s="221">
        <f t="shared" si="1"/>
        <v>-16053.39</v>
      </c>
      <c r="K41" s="222">
        <f t="shared" si="15"/>
        <v>0.23917582938388623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-1189.1400000000003</v>
      </c>
      <c r="T41" s="222">
        <f t="shared" si="14"/>
        <v>0.8093028104077296</v>
      </c>
      <c r="U41" s="206">
        <f>F41-березень!F41</f>
        <v>1500</v>
      </c>
      <c r="V41" s="206">
        <f>G41-березень!G41</f>
        <v>120.80999999999949</v>
      </c>
      <c r="W41" s="221">
        <f t="shared" si="10"/>
        <v>-1379.1900000000005</v>
      </c>
      <c r="X41" s="222">
        <f t="shared" si="18"/>
        <v>8.053999999999965</v>
      </c>
      <c r="Y41" s="338">
        <f t="shared" si="16"/>
        <v>-0.22670814479437107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47.23</v>
      </c>
      <c r="H43" s="102">
        <f t="shared" si="9"/>
        <v>-3.200000000000003</v>
      </c>
      <c r="I43" s="208">
        <f>G43/F43</f>
        <v>0.9365457069204838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-5.18</v>
      </c>
      <c r="T43" s="148">
        <f aca="true" t="shared" si="19" ref="T43:T51">G43/R43</f>
        <v>0.9011639000190803</v>
      </c>
      <c r="U43" s="107">
        <f>F43-березень!F43</f>
        <v>17</v>
      </c>
      <c r="V43" s="110">
        <f>G43-березень!G43</f>
        <v>0</v>
      </c>
      <c r="W43" s="111">
        <f t="shared" si="10"/>
        <v>-17</v>
      </c>
      <c r="X43" s="148">
        <f>V43/U43</f>
        <v>0</v>
      </c>
      <c r="Y43" s="339">
        <f t="shared" si="16"/>
        <v>-0.2109391480615217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338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8.33</v>
      </c>
      <c r="H45" s="71">
        <f t="shared" si="9"/>
        <v>-11.200000000000001</v>
      </c>
      <c r="I45" s="209">
        <f>G45/F45</f>
        <v>0.4265232974910394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-16.22</v>
      </c>
      <c r="T45" s="75">
        <f t="shared" si="19"/>
        <v>0.33930753564154786</v>
      </c>
      <c r="U45" s="73">
        <f>F45-березень!F45</f>
        <v>12</v>
      </c>
      <c r="V45" s="98">
        <f>G45-березень!G45</f>
        <v>0</v>
      </c>
      <c r="W45" s="74">
        <f t="shared" si="10"/>
        <v>-12</v>
      </c>
      <c r="X45" s="75">
        <f>V45/U45</f>
        <v>0</v>
      </c>
      <c r="Y45" s="338">
        <f t="shared" si="16"/>
        <v>-0.8523267056035884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71489.09</v>
      </c>
      <c r="H47" s="102">
        <f t="shared" si="9"/>
        <v>-17667.67</v>
      </c>
      <c r="I47" s="208">
        <f>G47/F47</f>
        <v>0.8018358899538296</v>
      </c>
      <c r="J47" s="108">
        <f t="shared" si="1"/>
        <v>-183061.71</v>
      </c>
      <c r="K47" s="148">
        <f>G47/E47</f>
        <v>0.28084409870249866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-2117.949999999997</v>
      </c>
      <c r="T47" s="160">
        <f t="shared" si="19"/>
        <v>0.9712262577057847</v>
      </c>
      <c r="U47" s="107">
        <f>F47-березень!F47</f>
        <v>20507.59999999999</v>
      </c>
      <c r="V47" s="110">
        <f>G47-березень!G47</f>
        <v>2416.4400000000023</v>
      </c>
      <c r="W47" s="111">
        <f t="shared" si="10"/>
        <v>-18091.15999999999</v>
      </c>
      <c r="X47" s="148">
        <f>V47/U47</f>
        <v>0.11783143810099687</v>
      </c>
      <c r="Y47" s="197">
        <f t="shared" si="16"/>
        <v>-0.1683753767791193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15065.96</v>
      </c>
      <c r="H49" s="71">
        <f>G49-F49</f>
        <v>-3917.91</v>
      </c>
      <c r="I49" s="209">
        <f>G49/F49</f>
        <v>0.7936190039228039</v>
      </c>
      <c r="J49" s="72">
        <f t="shared" si="1"/>
        <v>-40649.04</v>
      </c>
      <c r="K49" s="75">
        <f>G49/E49</f>
        <v>0.2704111998564121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1067.539999999999</v>
      </c>
      <c r="T49" s="153">
        <f t="shared" si="19"/>
        <v>1.0762614637937709</v>
      </c>
      <c r="U49" s="73">
        <f>F49-березень!F49</f>
        <v>3999.999999999998</v>
      </c>
      <c r="V49" s="98">
        <f>G49-березень!G49</f>
        <v>559.7199999999993</v>
      </c>
      <c r="W49" s="74">
        <f t="shared" si="10"/>
        <v>-3440.279999999999</v>
      </c>
      <c r="X49" s="75">
        <f>V49/U49</f>
        <v>0.1399299999999999</v>
      </c>
      <c r="Y49" s="197">
        <f t="shared" si="16"/>
        <v>-0.16101544772854948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56400.83</v>
      </c>
      <c r="H50" s="71">
        <f>G50-F50</f>
        <v>-13739.660000000003</v>
      </c>
      <c r="I50" s="209">
        <f>G50/F50</f>
        <v>0.8041122894921321</v>
      </c>
      <c r="J50" s="72">
        <f t="shared" si="1"/>
        <v>-142354.16999999998</v>
      </c>
      <c r="K50" s="75">
        <f>G50/E50</f>
        <v>0.2837706221227139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-3184.689999999995</v>
      </c>
      <c r="T50" s="153">
        <f t="shared" si="19"/>
        <v>0.9465526188241707</v>
      </c>
      <c r="U50" s="73">
        <f>F50-березень!F50</f>
        <v>16500.000000000007</v>
      </c>
      <c r="V50" s="98">
        <f>G50-березень!G50</f>
        <v>1856.7300000000032</v>
      </c>
      <c r="W50" s="74">
        <f t="shared" si="10"/>
        <v>-14643.270000000004</v>
      </c>
      <c r="X50" s="75">
        <f>V50/U50</f>
        <v>0.11252909090909105</v>
      </c>
      <c r="Y50" s="197">
        <f t="shared" si="16"/>
        <v>-0.16835584823123917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13824.489999999998</v>
      </c>
      <c r="H53" s="103">
        <f>H54+H55+H56+H57+H58+H60+H62+H63+H64+H65+H66+H71+H72+H76+H59+H61</f>
        <v>-566.0600000000003</v>
      </c>
      <c r="I53" s="143">
        <f aca="true" t="shared" si="20" ref="I53:I72">G53/F53</f>
        <v>0.9606644638321675</v>
      </c>
      <c r="J53" s="104">
        <f>G53-E53</f>
        <v>-33424.41</v>
      </c>
      <c r="K53" s="156">
        <f aca="true" t="shared" si="21" ref="K53:K72">G53/E53</f>
        <v>0.29258861052849905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-5613.4100000000035</v>
      </c>
      <c r="T53" s="143">
        <f>G53/R53</f>
        <v>0.7112131454529551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2327</v>
      </c>
      <c r="W53" s="103">
        <f>W54+W55+W56+W57+W58+W60+W62+W63+W64+W65+W66+W71+W72+W76</f>
        <v>-1410.5019999999995</v>
      </c>
      <c r="X53" s="143">
        <f>V53/U53</f>
        <v>0.6209469668061552</v>
      </c>
      <c r="Y53" s="197">
        <f t="shared" si="16"/>
        <v>0.030206621763033126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226.76</v>
      </c>
      <c r="H58" s="102">
        <f t="shared" si="22"/>
        <v>18.329999999999984</v>
      </c>
      <c r="I58" s="213">
        <f t="shared" si="20"/>
        <v>1.087943194357818</v>
      </c>
      <c r="J58" s="115">
        <f t="shared" si="24"/>
        <v>-517.24</v>
      </c>
      <c r="K58" s="155">
        <f t="shared" si="21"/>
        <v>0.3047849462365591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-167.72000000000003</v>
      </c>
      <c r="T58" s="155">
        <f t="shared" si="27"/>
        <v>0.5748326911377002</v>
      </c>
      <c r="U58" s="107">
        <f>F58-березень!F58</f>
        <v>60</v>
      </c>
      <c r="V58" s="110">
        <f>G58-березень!G58</f>
        <v>2.1699999999999875</v>
      </c>
      <c r="W58" s="111">
        <f t="shared" si="23"/>
        <v>-57.83000000000001</v>
      </c>
      <c r="X58" s="155">
        <f t="shared" si="28"/>
        <v>0.03616666666666646</v>
      </c>
      <c r="Y58" s="197">
        <f t="shared" si="16"/>
        <v>-0.48002262071099056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8.62</v>
      </c>
      <c r="H59" s="102">
        <f t="shared" si="22"/>
        <v>-21.380000000000003</v>
      </c>
      <c r="I59" s="213">
        <f t="shared" si="20"/>
        <v>0.28733333333333333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7.609999999999999</v>
      </c>
      <c r="T59" s="155">
        <f t="shared" si="27"/>
        <v>8.534653465346533</v>
      </c>
      <c r="U59" s="107">
        <f>F59-березень!F59</f>
        <v>10</v>
      </c>
      <c r="V59" s="110">
        <f>G59-березень!G59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7.524154777682491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302.47</v>
      </c>
      <c r="H60" s="102">
        <f t="shared" si="22"/>
        <v>-81.52999999999997</v>
      </c>
      <c r="I60" s="213">
        <f t="shared" si="20"/>
        <v>0.7876822916666667</v>
      </c>
      <c r="J60" s="115">
        <f t="shared" si="24"/>
        <v>-981.53</v>
      </c>
      <c r="K60" s="155">
        <f t="shared" si="21"/>
        <v>0.23556853582554518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-91</v>
      </c>
      <c r="T60" s="155">
        <f t="shared" si="27"/>
        <v>0.7687244262586729</v>
      </c>
      <c r="U60" s="107">
        <f>F60-березень!F60</f>
        <v>100</v>
      </c>
      <c r="V60" s="110">
        <f>G60-березень!G60</f>
        <v>22.140000000000043</v>
      </c>
      <c r="W60" s="111">
        <f t="shared" si="23"/>
        <v>-77.85999999999996</v>
      </c>
      <c r="X60" s="155">
        <f t="shared" si="28"/>
        <v>0.22140000000000043</v>
      </c>
      <c r="Y60" s="197">
        <f t="shared" si="16"/>
        <v>-0.2967119545767486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6557.24</v>
      </c>
      <c r="H62" s="102">
        <f t="shared" si="22"/>
        <v>-932.7600000000002</v>
      </c>
      <c r="I62" s="213">
        <f t="shared" si="20"/>
        <v>0.8754659546061415</v>
      </c>
      <c r="J62" s="115">
        <f t="shared" si="24"/>
        <v>-14702.76</v>
      </c>
      <c r="K62" s="155">
        <f t="shared" si="21"/>
        <v>0.3084308560677328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1875.7299999999996</v>
      </c>
      <c r="T62" s="155">
        <f t="shared" si="27"/>
        <v>1.400667733274093</v>
      </c>
      <c r="U62" s="107">
        <f>F62-березень!F62</f>
        <v>1800</v>
      </c>
      <c r="V62" s="110">
        <f>G62-березень!G62</f>
        <v>355.3000000000002</v>
      </c>
      <c r="W62" s="111">
        <f t="shared" si="23"/>
        <v>-1444.6999999999998</v>
      </c>
      <c r="X62" s="155">
        <f t="shared" si="28"/>
        <v>0.197388888888889</v>
      </c>
      <c r="Y62" s="197">
        <f t="shared" si="16"/>
        <v>0.34348961318144333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218.8</v>
      </c>
      <c r="H63" s="102">
        <f t="shared" si="22"/>
        <v>-30.19999999999999</v>
      </c>
      <c r="I63" s="213">
        <f t="shared" si="20"/>
        <v>0.8787148594377511</v>
      </c>
      <c r="J63" s="115">
        <f t="shared" si="24"/>
        <v>-548.2</v>
      </c>
      <c r="K63" s="155">
        <f t="shared" si="21"/>
        <v>0.2852672750977836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43.43000000000001</v>
      </c>
      <c r="T63" s="155">
        <f t="shared" si="27"/>
        <v>1.247647830301648</v>
      </c>
      <c r="U63" s="107">
        <f>F63-березень!F63</f>
        <v>64</v>
      </c>
      <c r="V63" s="110">
        <f>G63-березень!G63</f>
        <v>16.640000000000015</v>
      </c>
      <c r="W63" s="111">
        <f t="shared" si="23"/>
        <v>-47.359999999999985</v>
      </c>
      <c r="X63" s="155">
        <f t="shared" si="28"/>
        <v>0.26000000000000023</v>
      </c>
      <c r="Y63" s="197">
        <f t="shared" si="16"/>
        <v>0.16742699767250024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166.56</v>
      </c>
      <c r="H66" s="102">
        <f t="shared" si="22"/>
        <v>-103.07999999999998</v>
      </c>
      <c r="I66" s="213">
        <f t="shared" si="20"/>
        <v>0.6177125055629729</v>
      </c>
      <c r="J66" s="115">
        <f t="shared" si="24"/>
        <v>-699.44</v>
      </c>
      <c r="K66" s="155">
        <f t="shared" si="21"/>
        <v>0.1923325635103926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-122.69999999999999</v>
      </c>
      <c r="T66" s="155">
        <f t="shared" si="27"/>
        <v>0.5758141464426468</v>
      </c>
      <c r="U66" s="107">
        <f>F66-березень!F66</f>
        <v>74.5</v>
      </c>
      <c r="V66" s="110">
        <f>G66-березень!G66</f>
        <v>6.259999999999991</v>
      </c>
      <c r="W66" s="111">
        <f t="shared" si="23"/>
        <v>-68.24000000000001</v>
      </c>
      <c r="X66" s="155">
        <f t="shared" si="28"/>
        <v>0.08402684563758377</v>
      </c>
      <c r="Y66" s="197">
        <f t="shared" si="16"/>
        <v>-0.3904664543027059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129.16</v>
      </c>
      <c r="H67" s="71">
        <f t="shared" si="22"/>
        <v>-94.25999999999999</v>
      </c>
      <c r="I67" s="209">
        <f t="shared" si="20"/>
        <v>0.5781040193357802</v>
      </c>
      <c r="J67" s="72">
        <f t="shared" si="24"/>
        <v>-599.0400000000001</v>
      </c>
      <c r="K67" s="75">
        <f t="shared" si="21"/>
        <v>0.1773688547102444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-126.22</v>
      </c>
      <c r="T67" s="204">
        <f t="shared" si="27"/>
        <v>0.5057561281227974</v>
      </c>
      <c r="U67" s="73">
        <f>F67-березень!F67</f>
        <v>63</v>
      </c>
      <c r="V67" s="98">
        <f>G67-березень!G67</f>
        <v>4.700000000000003</v>
      </c>
      <c r="W67" s="74">
        <f t="shared" si="23"/>
        <v>-58.3</v>
      </c>
      <c r="X67" s="75">
        <f t="shared" si="28"/>
        <v>0.07460317460317464</v>
      </c>
      <c r="Y67" s="197">
        <f t="shared" si="16"/>
        <v>-0.4516207486356366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37.34</v>
      </c>
      <c r="H70" s="71">
        <f t="shared" si="22"/>
        <v>-8.68</v>
      </c>
      <c r="I70" s="209">
        <f t="shared" si="20"/>
        <v>0.8113863537592352</v>
      </c>
      <c r="J70" s="72">
        <f t="shared" si="24"/>
        <v>-99.46000000000001</v>
      </c>
      <c r="K70" s="75">
        <f t="shared" si="21"/>
        <v>0.272953216374269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3.5700000000000003</v>
      </c>
      <c r="T70" s="204">
        <f t="shared" si="27"/>
        <v>1.1057151317737637</v>
      </c>
      <c r="U70" s="73">
        <f>F70-березень!F70</f>
        <v>11.400000000000006</v>
      </c>
      <c r="V70" s="98">
        <f>G70-березень!G70</f>
        <v>1.5500000000000043</v>
      </c>
      <c r="W70" s="74">
        <f t="shared" si="23"/>
        <v>-9.850000000000001</v>
      </c>
      <c r="X70" s="75">
        <f t="shared" si="28"/>
        <v>0.13596491228070207</v>
      </c>
      <c r="Y70" s="197">
        <f t="shared" si="16"/>
        <v>0.09552461338652374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1701.23</v>
      </c>
      <c r="H72" s="102">
        <f t="shared" si="22"/>
        <v>-907.4200000000001</v>
      </c>
      <c r="I72" s="213">
        <f t="shared" si="20"/>
        <v>0.6521495792843042</v>
      </c>
      <c r="J72" s="115">
        <f t="shared" si="24"/>
        <v>-6468.77</v>
      </c>
      <c r="K72" s="155">
        <f t="shared" si="21"/>
        <v>0.20822888616891064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-1834.98</v>
      </c>
      <c r="T72" s="155">
        <f t="shared" si="27"/>
        <v>0.4810885100149595</v>
      </c>
      <c r="U72" s="107">
        <f>F72-березень!F72</f>
        <v>680</v>
      </c>
      <c r="V72" s="110">
        <f>G72-березень!G72</f>
        <v>202.52999999999997</v>
      </c>
      <c r="W72" s="111">
        <f t="shared" si="23"/>
        <v>-477.47</v>
      </c>
      <c r="X72" s="155">
        <f t="shared" si="28"/>
        <v>0.2978382352941176</v>
      </c>
      <c r="Y72" s="197">
        <f t="shared" si="16"/>
        <v>-0.5291848697142822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389530.11999999994</v>
      </c>
      <c r="H79" s="103">
        <f>G79-F79</f>
        <v>-112761.24000000005</v>
      </c>
      <c r="I79" s="210">
        <f>G79/F79</f>
        <v>0.7755063117151765</v>
      </c>
      <c r="J79" s="104">
        <f>G79-E79</f>
        <v>-1238387.58</v>
      </c>
      <c r="K79" s="156">
        <f>G79/E79</f>
        <v>0.23928121182047468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-30231.630000000063</v>
      </c>
      <c r="T79" s="156">
        <f>G79/R79</f>
        <v>0.9279790738436743</v>
      </c>
      <c r="U79" s="103">
        <f>U8+U53+U77+U78</f>
        <v>130095.803</v>
      </c>
      <c r="V79" s="103">
        <f>V8+V53+V77+V78</f>
        <v>10909.339999999986</v>
      </c>
      <c r="W79" s="135">
        <f>V79-U79</f>
        <v>-119186.46300000002</v>
      </c>
      <c r="X79" s="156">
        <f>V79/U79</f>
        <v>0.08385620249409573</v>
      </c>
      <c r="Y79" s="197">
        <f t="shared" si="16"/>
        <v>-0.23565339167378674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F87-березень!F87</f>
        <v>0</v>
      </c>
      <c r="V87" s="174">
        <f>G87-березень!G87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806.34</v>
      </c>
      <c r="T88" s="147">
        <f t="shared" si="30"/>
        <v>6720.500000000001</v>
      </c>
      <c r="U88" s="112">
        <f>F88-березень!F88</f>
        <v>0</v>
      </c>
      <c r="V88" s="118">
        <f>G88-березень!G88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6711.633477945723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1277.69</v>
      </c>
      <c r="H89" s="112">
        <f t="shared" si="31"/>
        <v>-1737.31</v>
      </c>
      <c r="I89" s="213">
        <f>G89/F89</f>
        <v>0.4237777777777778</v>
      </c>
      <c r="J89" s="117">
        <f aca="true" t="shared" si="35" ref="J89:J98">G89-E89</f>
        <v>-15171.31</v>
      </c>
      <c r="K89" s="147">
        <f>G89/E89</f>
        <v>0.07767584655602165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974.77</v>
      </c>
      <c r="T89" s="147">
        <f t="shared" si="30"/>
        <v>4.217912320084511</v>
      </c>
      <c r="U89" s="112">
        <f>F89-березень!F89</f>
        <v>1000</v>
      </c>
      <c r="V89" s="118">
        <f>G89-березень!G89</f>
        <v>75.98000000000002</v>
      </c>
      <c r="W89" s="117">
        <f t="shared" si="34"/>
        <v>-924.02</v>
      </c>
      <c r="X89" s="147">
        <f>V89/U89</f>
        <v>0.07598000000000002</v>
      </c>
      <c r="Y89" s="197">
        <f t="shared" si="16"/>
        <v>2.1980563586912782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1571.29</v>
      </c>
      <c r="H90" s="112">
        <f t="shared" si="31"/>
        <v>-6428.71</v>
      </c>
      <c r="I90" s="213">
        <f>G90/F90</f>
        <v>0.19641124999999998</v>
      </c>
      <c r="J90" s="117">
        <f t="shared" si="35"/>
        <v>-20443.71</v>
      </c>
      <c r="K90" s="147">
        <f>G90/E90</f>
        <v>0.07137360890302066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-250.16000000000008</v>
      </c>
      <c r="T90" s="147">
        <f t="shared" si="30"/>
        <v>0.8626588706799527</v>
      </c>
      <c r="U90" s="112">
        <f>F90-березень!F90</f>
        <v>2000</v>
      </c>
      <c r="V90" s="118">
        <f>G90-березень!G90</f>
        <v>113.5</v>
      </c>
      <c r="W90" s="117">
        <f t="shared" si="34"/>
        <v>-1886.5</v>
      </c>
      <c r="X90" s="147">
        <f>V90/U90</f>
        <v>0.05675</v>
      </c>
      <c r="Y90" s="197">
        <f t="shared" si="16"/>
        <v>-0.4094521112521998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3658.44</v>
      </c>
      <c r="H92" s="129">
        <f t="shared" si="31"/>
        <v>-8170.989</v>
      </c>
      <c r="I92" s="216">
        <f>G92/F92</f>
        <v>0.3092659840132605</v>
      </c>
      <c r="J92" s="131">
        <f t="shared" si="35"/>
        <v>-43147.599</v>
      </c>
      <c r="K92" s="151">
        <f>G92/E92</f>
        <v>0.07816170900511363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1528.96</v>
      </c>
      <c r="T92" s="147">
        <f t="shared" si="30"/>
        <v>1.717996881867874</v>
      </c>
      <c r="U92" s="129">
        <f>F92-березень!F92</f>
        <v>3002</v>
      </c>
      <c r="V92" s="174">
        <f>G92-березень!G92</f>
        <v>189.48000000000002</v>
      </c>
      <c r="W92" s="131">
        <f t="shared" si="34"/>
        <v>-2812.52</v>
      </c>
      <c r="X92" s="151">
        <f>V92/U92</f>
        <v>0.06311792138574285</v>
      </c>
      <c r="Y92" s="197">
        <f t="shared" si="16"/>
        <v>-0.05444486420125916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1.24</v>
      </c>
      <c r="H93" s="112">
        <f t="shared" si="31"/>
        <v>-9.76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-8.01</v>
      </c>
      <c r="T93" s="147">
        <f t="shared" si="30"/>
        <v>0.13405405405405404</v>
      </c>
      <c r="U93" s="112">
        <f>F93-березень!F93</f>
        <v>4</v>
      </c>
      <c r="V93" s="118">
        <f>G93-березень!G93</f>
        <v>0</v>
      </c>
      <c r="W93" s="117">
        <f t="shared" si="34"/>
        <v>-4</v>
      </c>
      <c r="X93" s="147"/>
      <c r="Y93" s="197">
        <f t="shared" si="16"/>
        <v>-0.7404629278454782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2501.51</v>
      </c>
      <c r="H95" s="112">
        <f t="shared" si="31"/>
        <v>-331.9399999999996</v>
      </c>
      <c r="I95" s="213">
        <f>G95/F95</f>
        <v>0.8828495297252468</v>
      </c>
      <c r="J95" s="117">
        <f t="shared" si="35"/>
        <v>-6548.49</v>
      </c>
      <c r="K95" s="147">
        <f>G95/E95</f>
        <v>0.27640994475138125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269.97000000000025</v>
      </c>
      <c r="T95" s="147">
        <f t="shared" si="30"/>
        <v>1.120979234071538</v>
      </c>
      <c r="U95" s="112">
        <f>F95-березень!F95</f>
        <v>13.699999999999818</v>
      </c>
      <c r="V95" s="118">
        <f>G95-березень!G95</f>
        <v>0.16000000000030923</v>
      </c>
      <c r="W95" s="117">
        <f t="shared" si="34"/>
        <v>-13.539999999999509</v>
      </c>
      <c r="X95" s="147">
        <f>V95/U95</f>
        <v>0.011678832116811047</v>
      </c>
      <c r="Y95" s="197">
        <f t="shared" si="16"/>
        <v>-0.005491712935783433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2502.75</v>
      </c>
      <c r="H97" s="129">
        <f t="shared" si="31"/>
        <v>-341.6999999999998</v>
      </c>
      <c r="I97" s="216">
        <f>G97/F97</f>
        <v>0.8798713283763118</v>
      </c>
      <c r="J97" s="131">
        <f t="shared" si="35"/>
        <v>-6590.25</v>
      </c>
      <c r="K97" s="151">
        <f>G97/E97</f>
        <v>0.2752391949851534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261.92999999999984</v>
      </c>
      <c r="T97" s="147">
        <f t="shared" si="30"/>
        <v>1.1168902455351166</v>
      </c>
      <c r="U97" s="129">
        <f>F97-березень!F97</f>
        <v>17.699999999999818</v>
      </c>
      <c r="V97" s="174">
        <f>G97-лютий!G97</f>
        <v>124.49000000000024</v>
      </c>
      <c r="W97" s="131">
        <f t="shared" si="34"/>
        <v>106.79000000000042</v>
      </c>
      <c r="X97" s="151">
        <f>V97/U97</f>
        <v>7.033333333333419</v>
      </c>
      <c r="Y97" s="197">
        <f t="shared" si="16"/>
        <v>-0.008034134754397071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12.91</v>
      </c>
      <c r="H98" s="112">
        <f t="shared" si="31"/>
        <v>-1.08</v>
      </c>
      <c r="I98" s="213">
        <f>G98/F98</f>
        <v>0.9228020014295926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5.3100000000000005</v>
      </c>
      <c r="T98" s="147">
        <f t="shared" si="30"/>
        <v>1.6986842105263158</v>
      </c>
      <c r="U98" s="112">
        <f>F98-березень!F98</f>
        <v>5.86478</v>
      </c>
      <c r="V98" s="118">
        <f>G98-березень!G98</f>
        <v>0</v>
      </c>
      <c r="W98" s="117">
        <f t="shared" si="34"/>
        <v>-5.86478</v>
      </c>
      <c r="X98" s="147">
        <f>V98/U98</f>
        <v>0</v>
      </c>
      <c r="Y98" s="197">
        <f t="shared" si="16"/>
        <v>0.4496589207476014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6174.110000000001</v>
      </c>
      <c r="H100" s="184">
        <f>G100-F100</f>
        <v>-8513.759</v>
      </c>
      <c r="I100" s="217">
        <f>G100/F100</f>
        <v>0.4203543754373082</v>
      </c>
      <c r="J100" s="177">
        <f>G100-E100</f>
        <v>-49772.342000000004</v>
      </c>
      <c r="K100" s="178">
        <f>G100/E100</f>
        <v>0.11035748969389515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1760.6400000000003</v>
      </c>
      <c r="T100" s="178">
        <f t="shared" si="30"/>
        <v>1.398924202498261</v>
      </c>
      <c r="U100" s="183">
        <f>U86+U87+U92+U97+U98</f>
        <v>3025.5647799999997</v>
      </c>
      <c r="V100" s="183">
        <f>V86+V87+V92+V97+V98</f>
        <v>313.97000000000025</v>
      </c>
      <c r="W100" s="177">
        <f>V100-U100</f>
        <v>-2711.5947799999994</v>
      </c>
      <c r="X100" s="178">
        <f>V100/U100</f>
        <v>0.1037723608086158</v>
      </c>
      <c r="Y100" s="197">
        <f>T100-Q100</f>
        <v>-0.21981384245719138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395704.2299999999</v>
      </c>
      <c r="H101" s="184">
        <f>G101-F101</f>
        <v>-121274.99900000007</v>
      </c>
      <c r="I101" s="217">
        <f>G101/F101</f>
        <v>0.7654161092031029</v>
      </c>
      <c r="J101" s="177">
        <f>G101-E101</f>
        <v>-1288159.922</v>
      </c>
      <c r="K101" s="178">
        <f>G101/E101</f>
        <v>0.23499771613405065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-28470.990000000063</v>
      </c>
      <c r="T101" s="178">
        <f t="shared" si="30"/>
        <v>0.9328791766760914</v>
      </c>
      <c r="U101" s="184">
        <f>U79+U100</f>
        <v>133121.36778</v>
      </c>
      <c r="V101" s="184">
        <f>V79+V100</f>
        <v>11223.309999999987</v>
      </c>
      <c r="W101" s="177">
        <f>V101-U101</f>
        <v>-121898.05778000002</v>
      </c>
      <c r="X101" s="178">
        <f>V101/U101</f>
        <v>0.08430885429713984</v>
      </c>
      <c r="Y101" s="197">
        <f>T101-Q101</f>
        <v>-0.2417254656480644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16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7047.577500000003</v>
      </c>
      <c r="H104" s="263"/>
      <c r="I104" s="263"/>
      <c r="J104" s="263"/>
      <c r="V104" s="262">
        <f>IF(W79&lt;0,ABS(W79/C103),0)</f>
        <v>7449.153937500001</v>
      </c>
    </row>
    <row r="105" spans="2:7" ht="30.75">
      <c r="B105" s="264" t="s">
        <v>146</v>
      </c>
      <c r="C105" s="265">
        <v>43193</v>
      </c>
      <c r="D105" s="262"/>
      <c r="E105" s="262">
        <v>3432.1</v>
      </c>
      <c r="F105" s="78"/>
      <c r="G105" s="4" t="s">
        <v>147</v>
      </c>
    </row>
    <row r="106" spans="3:10" ht="15">
      <c r="C106" s="265">
        <v>43192</v>
      </c>
      <c r="D106" s="262"/>
      <c r="E106" s="262">
        <v>3455.9</v>
      </c>
      <c r="F106" s="78"/>
      <c r="G106" s="370"/>
      <c r="H106" s="370"/>
      <c r="I106" s="267"/>
      <c r="J106" s="268"/>
    </row>
    <row r="107" spans="3:10" ht="15">
      <c r="C107" s="265">
        <v>43189</v>
      </c>
      <c r="D107" s="262"/>
      <c r="E107" s="262">
        <v>10196.34</v>
      </c>
      <c r="F107" s="78"/>
      <c r="G107" s="370"/>
      <c r="H107" s="370"/>
      <c r="I107" s="267"/>
      <c r="J107" s="269"/>
    </row>
    <row r="108" spans="3:10" ht="15">
      <c r="C108" s="265"/>
      <c r="D108" s="4"/>
      <c r="F108" s="270"/>
      <c r="G108" s="371"/>
      <c r="H108" s="371"/>
      <c r="I108" s="271"/>
      <c r="J108" s="268"/>
    </row>
    <row r="109" spans="2:10" ht="16.5">
      <c r="B109" s="372" t="s">
        <v>148</v>
      </c>
      <c r="C109" s="373"/>
      <c r="D109" s="272"/>
      <c r="E109" s="314">
        <v>27.88</v>
      </c>
      <c r="F109" s="273" t="s">
        <v>149</v>
      </c>
      <c r="G109" s="370"/>
      <c r="H109" s="370"/>
      <c r="I109" s="274"/>
      <c r="J109" s="268"/>
    </row>
    <row r="110" spans="2:24" ht="15" hidden="1">
      <c r="B110" s="275" t="s">
        <v>150</v>
      </c>
      <c r="D110" s="270">
        <f>D60+D63+D64</f>
        <v>2095</v>
      </c>
      <c r="E110" s="270">
        <f>E60+E63+E64</f>
        <v>2095</v>
      </c>
      <c r="F110" s="270">
        <f>F60+F63+F64</f>
        <v>645</v>
      </c>
      <c r="G110" s="315">
        <f>G60+G63+G64</f>
        <v>534.3299999999999</v>
      </c>
      <c r="H110" s="270">
        <f>H60+H63+H64</f>
        <v>-110.66999999999996</v>
      </c>
      <c r="I110" s="316">
        <f>G110/F110</f>
        <v>0.8284186046511627</v>
      </c>
      <c r="J110" s="270">
        <f>J60+J63+J64</f>
        <v>-1560.67</v>
      </c>
      <c r="K110" s="316">
        <f>G110/E110</f>
        <v>0.2550501193317422</v>
      </c>
      <c r="L110" s="270">
        <f>L60+L63+L64</f>
        <v>0</v>
      </c>
      <c r="M110" s="270">
        <f>M60+M63+M64</f>
        <v>0</v>
      </c>
      <c r="N110" s="270">
        <f>N60+N63+N64</f>
        <v>0</v>
      </c>
      <c r="O110" s="270">
        <f>O60+O63+O64</f>
        <v>1956.6200000000001</v>
      </c>
      <c r="P110" s="270">
        <f>P60+P63+P64</f>
        <v>138.37999999999994</v>
      </c>
      <c r="Q110" s="316">
        <f>E110/O110</f>
        <v>1.0707240036389283</v>
      </c>
      <c r="R110" s="270">
        <f>R60+R63+R64</f>
        <v>580.2</v>
      </c>
      <c r="S110" s="270">
        <f>S60+S63+S64</f>
        <v>-45.86999999999999</v>
      </c>
      <c r="T110" s="316">
        <f>G110/R110</f>
        <v>0.9209410548086865</v>
      </c>
      <c r="U110" s="270">
        <f>U60+U63+U64</f>
        <v>168</v>
      </c>
      <c r="V110" s="276">
        <f>V60+V63+V64</f>
        <v>44.080000000000055</v>
      </c>
      <c r="W110" s="270">
        <f>W60+W63+W64</f>
        <v>-123.91999999999994</v>
      </c>
      <c r="X110" s="316">
        <f>V110/U110</f>
        <v>0.2623809523809527</v>
      </c>
    </row>
    <row r="111" spans="4:9" ht="15" hidden="1">
      <c r="D111" s="260"/>
      <c r="F111" s="78"/>
      <c r="G111" s="4"/>
      <c r="I111" s="262"/>
    </row>
    <row r="112" spans="2:10" ht="15" hidden="1">
      <c r="B112" s="4" t="s">
        <v>162</v>
      </c>
      <c r="D112" s="262">
        <f>D9+D15+D18+D19+D23+D54+D57+D59+D71+D77+D93+D95</f>
        <v>1592543.3</v>
      </c>
      <c r="E112" s="262">
        <f>E9+E15+E18+E19+E23+E54+E57+E59+E71+E77+E93+E95</f>
        <v>1592543.3</v>
      </c>
      <c r="F112" s="262">
        <f>F9+F15+F18+F19+F23+F54+F57+F59+F71+F77+F93+F95</f>
        <v>490787.87</v>
      </c>
      <c r="G112" s="277">
        <f>G9+G15+G18+G19+G23+G54+G57+G59+G71+G77+G93+G95</f>
        <v>378277.4799999999</v>
      </c>
      <c r="H112" s="262">
        <f>H9+H15+H18+H19+H23+H54+H57+H59+H71+H77+H93+H95</f>
        <v>-112510.39000000003</v>
      </c>
      <c r="I112" s="163">
        <f>G112/F112</f>
        <v>0.7707555608495376</v>
      </c>
      <c r="J112" s="262"/>
    </row>
    <row r="113" spans="2:10" ht="15" hidden="1">
      <c r="B113" s="4" t="s">
        <v>163</v>
      </c>
      <c r="D113" s="262">
        <f>D55+D58+D60+D63+D64+D65+D72+D76+D88+D89+D90+D91+D98</f>
        <v>65675.813</v>
      </c>
      <c r="E113" s="262">
        <f>E55+E58+E60+E63+E64+E65+E72+E76+E88+E89+E90+E91+E98</f>
        <v>69036.852</v>
      </c>
      <c r="F113" s="262">
        <f>F55+F58+F60+F63+F64+F65+F72+F76+F88+F89+F90+F91+F98</f>
        <v>18389.719</v>
      </c>
      <c r="G113" s="277">
        <f>G55+G58+G60+G63+G64+G65+G72+G76+G88+G89+G90+G91+G98</f>
        <v>10650.669999999998</v>
      </c>
      <c r="H113" s="262">
        <f>H55+H58+H60+H63+H64+H65+H72+H76+H88+H89+H90+H91+H98</f>
        <v>-7739.049</v>
      </c>
      <c r="I113" s="163">
        <f>G113/F113</f>
        <v>0.5791643689607219</v>
      </c>
      <c r="J113" s="262"/>
    </row>
    <row r="114" spans="2:10" ht="15" hidden="1">
      <c r="B114" s="4" t="s">
        <v>164</v>
      </c>
      <c r="D114" s="262">
        <f>D56+D62+D66+D78</f>
        <v>22284</v>
      </c>
      <c r="E114" s="262">
        <f>E56+E62+E66+E78</f>
        <v>22284</v>
      </c>
      <c r="F114" s="262">
        <f>F56+F62+F66+F78</f>
        <v>7801.64</v>
      </c>
      <c r="G114" s="277">
        <f>G56+G62+G66+G78</f>
        <v>6776.07</v>
      </c>
      <c r="H114" s="262">
        <f>H56+H62+H66+H78</f>
        <v>-1025.5700000000002</v>
      </c>
      <c r="I114" s="163">
        <f>G114/F114</f>
        <v>0.8685443060689803</v>
      </c>
      <c r="J114" s="262"/>
    </row>
    <row r="115" spans="2:10" ht="15" hidden="1">
      <c r="B115" s="311" t="s">
        <v>165</v>
      </c>
      <c r="C115" s="317"/>
      <c r="D115" s="318">
        <f>D112+D113+D114</f>
        <v>1680503.1130000001</v>
      </c>
      <c r="E115" s="318">
        <f>E112+E113+E114</f>
        <v>1683864.152</v>
      </c>
      <c r="F115" s="318">
        <f>F112+F113+F114</f>
        <v>516979.229</v>
      </c>
      <c r="G115" s="319">
        <f>G112+G113+G114</f>
        <v>395704.2199999999</v>
      </c>
      <c r="H115" s="318">
        <f>H112+H113+H114</f>
        <v>-121275.00900000003</v>
      </c>
      <c r="I115" s="320">
        <f>G115/F115</f>
        <v>0.765416089859966</v>
      </c>
      <c r="J115" s="262"/>
    </row>
    <row r="116" spans="4:10" ht="15" hidden="1">
      <c r="D116" s="262">
        <f>D115-D101</f>
        <v>0</v>
      </c>
      <c r="E116" s="262">
        <f>E115-E101</f>
        <v>0</v>
      </c>
      <c r="F116" s="262">
        <f>F115-F101</f>
        <v>0</v>
      </c>
      <c r="G116" s="277">
        <f>G115-G101</f>
        <v>-0.010000000009313226</v>
      </c>
      <c r="H116" s="262">
        <f>H115-H101</f>
        <v>-0.00999999996565748</v>
      </c>
      <c r="I116" s="163"/>
      <c r="J116" s="262"/>
    </row>
    <row r="117" spans="4:7" ht="15" hidden="1">
      <c r="D117" s="4"/>
      <c r="E117" s="4" t="s">
        <v>147</v>
      </c>
      <c r="F117" s="78"/>
      <c r="G117" s="4"/>
    </row>
    <row r="118" spans="2:7" ht="15" hidden="1">
      <c r="B118" s="266"/>
      <c r="D118" s="4"/>
      <c r="E118" s="262"/>
      <c r="F118" s="78"/>
      <c r="G118" s="4"/>
    </row>
    <row r="119" spans="2:8" ht="15" hidden="1">
      <c r="B119" s="266"/>
      <c r="D119" s="4"/>
      <c r="E119" s="262"/>
      <c r="F119" s="78"/>
      <c r="G119" s="4"/>
      <c r="H119" s="262"/>
    </row>
    <row r="120" spans="4:11" ht="15" hidden="1">
      <c r="D120" s="3"/>
      <c r="F120" s="78"/>
      <c r="G120" s="4"/>
      <c r="H120" s="262"/>
      <c r="I120" s="3"/>
      <c r="K120" s="3"/>
    </row>
    <row r="121" spans="2:12" ht="18" hidden="1">
      <c r="B121" s="83" t="s">
        <v>151</v>
      </c>
      <c r="C121" s="34">
        <v>25000000</v>
      </c>
      <c r="D121" s="125">
        <v>90449.655</v>
      </c>
      <c r="E121" s="333">
        <v>18102.06</v>
      </c>
      <c r="F121" s="333">
        <v>20254.32</v>
      </c>
      <c r="G121" s="334">
        <v>2152.2599999999984</v>
      </c>
      <c r="H121" s="114">
        <f>G121-F121</f>
        <v>-18102.06</v>
      </c>
      <c r="I121" s="147">
        <f aca="true" t="shared" si="36" ref="I121:I128">G121/F121</f>
        <v>0.10626177526572102</v>
      </c>
      <c r="J121" s="117">
        <f>G121-E121</f>
        <v>-15949.800000000003</v>
      </c>
      <c r="K121" s="147">
        <f>G121/E121</f>
        <v>0.1188958604711286</v>
      </c>
      <c r="L121" s="3"/>
    </row>
    <row r="122" spans="2:12" ht="17.25" hidden="1">
      <c r="B122" s="13" t="s">
        <v>30</v>
      </c>
      <c r="C122" s="278"/>
      <c r="D122" s="279">
        <f>D121+D100</f>
        <v>143035.068</v>
      </c>
      <c r="E122" s="279">
        <f>E121+E100</f>
        <v>74048.512</v>
      </c>
      <c r="F122" s="279">
        <f>F121+F100</f>
        <v>34942.189</v>
      </c>
      <c r="G122" s="279">
        <f>G121+G100</f>
        <v>8326.369999999999</v>
      </c>
      <c r="H122" s="279">
        <f>H121+H100</f>
        <v>-26615.819000000003</v>
      </c>
      <c r="I122" s="326">
        <f t="shared" si="36"/>
        <v>0.23828987932038256</v>
      </c>
      <c r="J122" s="279">
        <f>J121+J100</f>
        <v>-65722.142</v>
      </c>
      <c r="K122" s="326">
        <f>G122/F122</f>
        <v>0.23828987932038256</v>
      </c>
      <c r="L122" s="3"/>
    </row>
    <row r="123" spans="2:12" ht="17.25" hidden="1">
      <c r="B123" s="280" t="s">
        <v>152</v>
      </c>
      <c r="C123" s="278"/>
      <c r="D123" s="279">
        <f>D101+D121</f>
        <v>1770952.768</v>
      </c>
      <c r="E123" s="279">
        <f>E101+E121</f>
        <v>1701966.212</v>
      </c>
      <c r="F123" s="279">
        <f>F101+F121</f>
        <v>537233.549</v>
      </c>
      <c r="G123" s="279">
        <f>G101+G121</f>
        <v>397856.48999999993</v>
      </c>
      <c r="H123" s="279">
        <f>H101+H121</f>
        <v>-139377.05900000007</v>
      </c>
      <c r="I123" s="326">
        <f t="shared" si="36"/>
        <v>0.7405652359957139</v>
      </c>
      <c r="J123" s="279">
        <f>J101+J121</f>
        <v>-1304109.722</v>
      </c>
      <c r="K123" s="326">
        <f>G123/F123</f>
        <v>0.7405652359957139</v>
      </c>
      <c r="L123" s="3"/>
    </row>
    <row r="124" spans="2:12" ht="15" hidden="1">
      <c r="B124" s="281" t="s">
        <v>153</v>
      </c>
      <c r="C124" s="282">
        <v>40000000</v>
      </c>
      <c r="D124" s="283">
        <v>1499675.196</v>
      </c>
      <c r="E124" s="283">
        <v>1499675.2</v>
      </c>
      <c r="F124" s="335">
        <v>322086.73</v>
      </c>
      <c r="G124" s="335"/>
      <c r="H124" s="283">
        <f>G124-F124</f>
        <v>-322086.73</v>
      </c>
      <c r="I124" s="327">
        <f t="shared" si="36"/>
        <v>0</v>
      </c>
      <c r="J124" s="29">
        <f>G124-E124</f>
        <v>-1499675.2</v>
      </c>
      <c r="K124" s="327">
        <f>G124/E124</f>
        <v>0</v>
      </c>
      <c r="L124" s="3"/>
    </row>
    <row r="125" spans="2:12" ht="26.25" hidden="1">
      <c r="B125" s="329" t="s">
        <v>169</v>
      </c>
      <c r="C125" s="330">
        <v>41033900</v>
      </c>
      <c r="D125" s="331">
        <v>249086.1</v>
      </c>
      <c r="E125" s="332">
        <v>249086.1</v>
      </c>
      <c r="F125" s="332">
        <v>38359.2</v>
      </c>
      <c r="G125" s="331">
        <v>38359.2</v>
      </c>
      <c r="H125" s="331">
        <f>G125-F125</f>
        <v>0</v>
      </c>
      <c r="I125" s="145">
        <f t="shared" si="36"/>
        <v>1</v>
      </c>
      <c r="J125" s="74">
        <f>G125-E125</f>
        <v>-210726.90000000002</v>
      </c>
      <c r="K125" s="145">
        <f>G125/E125</f>
        <v>0.15399976152824263</v>
      </c>
      <c r="L125" s="3"/>
    </row>
    <row r="126" spans="2:12" ht="26.25" hidden="1">
      <c r="B126" s="329" t="s">
        <v>170</v>
      </c>
      <c r="C126" s="330">
        <v>41034200</v>
      </c>
      <c r="D126" s="331">
        <v>226186</v>
      </c>
      <c r="E126" s="331">
        <v>226186</v>
      </c>
      <c r="F126" s="331">
        <v>44005.9</v>
      </c>
      <c r="G126" s="331">
        <v>44005.9</v>
      </c>
      <c r="H126" s="331">
        <f>G126-F126</f>
        <v>0</v>
      </c>
      <c r="I126" s="145">
        <f t="shared" si="36"/>
        <v>1</v>
      </c>
      <c r="J126" s="74">
        <f>G126-E126</f>
        <v>-182180.1</v>
      </c>
      <c r="K126" s="145">
        <f>G126/E126</f>
        <v>0.19455625016579275</v>
      </c>
      <c r="L126" s="3"/>
    </row>
    <row r="127" spans="2:12" ht="15" hidden="1">
      <c r="B127" s="281" t="s">
        <v>166</v>
      </c>
      <c r="C127" s="282"/>
      <c r="D127" s="283">
        <v>0</v>
      </c>
      <c r="E127" s="283">
        <v>0</v>
      </c>
      <c r="F127" s="283">
        <v>0</v>
      </c>
      <c r="G127" s="283">
        <v>0</v>
      </c>
      <c r="H127" s="283">
        <f>G127-F127</f>
        <v>0</v>
      </c>
      <c r="I127" s="327" t="e">
        <f t="shared" si="36"/>
        <v>#DIV/0!</v>
      </c>
      <c r="J127" s="29">
        <f>G127-E127</f>
        <v>0</v>
      </c>
      <c r="K127" s="327" t="e">
        <f>G127/E127</f>
        <v>#DIV/0!</v>
      </c>
      <c r="L127" s="3"/>
    </row>
    <row r="128" spans="2:12" ht="18" hidden="1">
      <c r="B128" s="284" t="s">
        <v>154</v>
      </c>
      <c r="C128" s="285"/>
      <c r="D128" s="286">
        <f>D123+D124+D127</f>
        <v>3270627.9639999997</v>
      </c>
      <c r="E128" s="286">
        <f aca="true" t="shared" si="37" ref="E128:J128">E123+E124+E127</f>
        <v>3201641.412</v>
      </c>
      <c r="F128" s="286">
        <f t="shared" si="37"/>
        <v>859320.279</v>
      </c>
      <c r="G128" s="286">
        <f t="shared" si="37"/>
        <v>397856.48999999993</v>
      </c>
      <c r="H128" s="286">
        <f t="shared" si="37"/>
        <v>-461463.78900000005</v>
      </c>
      <c r="I128" s="328">
        <f t="shared" si="36"/>
        <v>0.4629897603056566</v>
      </c>
      <c r="J128" s="286">
        <f t="shared" si="37"/>
        <v>-2803784.9220000003</v>
      </c>
      <c r="K128" s="328">
        <f>G128/E128</f>
        <v>0.12426641175642063</v>
      </c>
      <c r="L128" s="3"/>
    </row>
    <row r="129" spans="4:7" ht="15" hidden="1">
      <c r="D129" s="4"/>
      <c r="F129" s="78"/>
      <c r="G129" s="4"/>
    </row>
    <row r="130" spans="4:7" ht="15" hidden="1">
      <c r="D130" s="4"/>
      <c r="F130" s="78"/>
      <c r="G130" s="4"/>
    </row>
    <row r="131" spans="4:7" ht="15" hidden="1">
      <c r="D131" s="262"/>
      <c r="F131" s="78"/>
      <c r="G131" s="4"/>
    </row>
    <row r="132" spans="4:7" ht="15" hidden="1">
      <c r="D132" s="262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2:7" ht="15" hidden="1">
      <c r="B135" s="287" t="s">
        <v>155</v>
      </c>
      <c r="D135" s="4"/>
      <c r="F135" s="78"/>
      <c r="G135" s="4"/>
    </row>
    <row r="136" spans="2:26" ht="30.75" hidden="1">
      <c r="B136" s="288" t="s">
        <v>156</v>
      </c>
      <c r="C136" s="289">
        <v>13010200</v>
      </c>
      <c r="D136" s="290">
        <f>D17</f>
        <v>0</v>
      </c>
      <c r="E136" s="290">
        <f>E17</f>
        <v>0</v>
      </c>
      <c r="F136" s="290">
        <f>F17</f>
        <v>0</v>
      </c>
      <c r="G136" s="290">
        <f>G17</f>
        <v>0</v>
      </c>
      <c r="H136" s="290">
        <f>H17</f>
        <v>0</v>
      </c>
      <c r="I136" s="306">
        <f>I17</f>
        <v>0</v>
      </c>
      <c r="J136" s="290">
        <f>J17</f>
        <v>0</v>
      </c>
      <c r="K136" s="306">
        <f>K17</f>
        <v>0</v>
      </c>
      <c r="L136" s="290">
        <f>L17</f>
        <v>0</v>
      </c>
      <c r="M136" s="290">
        <f>M17</f>
        <v>0</v>
      </c>
      <c r="N136" s="290">
        <f>N17</f>
        <v>0</v>
      </c>
      <c r="O136" s="290">
        <f>O17</f>
        <v>0.49</v>
      </c>
      <c r="P136" s="290">
        <f>P17</f>
        <v>-0.49</v>
      </c>
      <c r="Q136" s="306">
        <f>Q17</f>
        <v>0</v>
      </c>
      <c r="R136" s="290">
        <f>R17</f>
        <v>0</v>
      </c>
      <c r="S136" s="290">
        <f>S17</f>
        <v>0</v>
      </c>
      <c r="T136" s="306" t="e">
        <f>T17</f>
        <v>#DIV/0!</v>
      </c>
      <c r="U136" s="290">
        <f>U17</f>
        <v>0</v>
      </c>
      <c r="V136" s="290">
        <f>V17</f>
        <v>0</v>
      </c>
      <c r="W136" s="290">
        <f>W17</f>
        <v>0</v>
      </c>
      <c r="X136" s="306">
        <f>X17</f>
        <v>0</v>
      </c>
      <c r="Y136" s="325" t="e">
        <f>T136-Q136</f>
        <v>#DIV/0!</v>
      </c>
      <c r="Z136" s="163"/>
    </row>
    <row r="137" spans="2:26" ht="30.75" hidden="1">
      <c r="B137" s="291" t="s">
        <v>157</v>
      </c>
      <c r="C137" s="289">
        <v>13030200</v>
      </c>
      <c r="D137" s="290">
        <f>D18</f>
        <v>235.6</v>
      </c>
      <c r="E137" s="290">
        <f>E18</f>
        <v>235.6</v>
      </c>
      <c r="F137" s="290">
        <f>F18</f>
        <v>120</v>
      </c>
      <c r="G137" s="290">
        <f>G18</f>
        <v>194.24</v>
      </c>
      <c r="H137" s="290">
        <f>H18</f>
        <v>74.24000000000001</v>
      </c>
      <c r="I137" s="306">
        <f>I18</f>
        <v>1.6186666666666667</v>
      </c>
      <c r="J137" s="290">
        <f>J18</f>
        <v>-41.359999999999985</v>
      </c>
      <c r="K137" s="306">
        <f>K18</f>
        <v>82.44482173174873</v>
      </c>
      <c r="L137" s="290">
        <f>L18</f>
        <v>0</v>
      </c>
      <c r="M137" s="290">
        <f>M18</f>
        <v>0</v>
      </c>
      <c r="N137" s="290">
        <f>N18</f>
        <v>0</v>
      </c>
      <c r="O137" s="290">
        <f>O18</f>
        <v>220.59</v>
      </c>
      <c r="P137" s="290">
        <f>P18</f>
        <v>15.009999999999991</v>
      </c>
      <c r="Q137" s="306">
        <f>Q18</f>
        <v>1.0680447889750215</v>
      </c>
      <c r="R137" s="290">
        <f>R18</f>
        <v>118.46</v>
      </c>
      <c r="S137" s="290">
        <f>S18</f>
        <v>75.78000000000002</v>
      </c>
      <c r="T137" s="306">
        <f>T18</f>
        <v>1.639709606618268</v>
      </c>
      <c r="U137" s="290">
        <f>U18</f>
        <v>0</v>
      </c>
      <c r="V137" s="290">
        <f>V18</f>
        <v>0</v>
      </c>
      <c r="W137" s="290">
        <f>W18</f>
        <v>0</v>
      </c>
      <c r="X137" s="306" t="e">
        <f>X18</f>
        <v>#DIV/0!</v>
      </c>
      <c r="Y137" s="325">
        <f aca="true" t="shared" si="38" ref="Y137:Y159">T137-Q137</f>
        <v>0.5716648176432464</v>
      </c>
      <c r="Z137" s="163"/>
    </row>
    <row r="138" spans="2:26" ht="15" hidden="1">
      <c r="B138" s="292" t="s">
        <v>51</v>
      </c>
      <c r="C138" s="293">
        <v>21080500</v>
      </c>
      <c r="D138" s="294">
        <f>D56</f>
        <v>158</v>
      </c>
      <c r="E138" s="294">
        <f>E56</f>
        <v>158</v>
      </c>
      <c r="F138" s="294">
        <f>F56</f>
        <v>42</v>
      </c>
      <c r="G138" s="294">
        <f>G56</f>
        <v>51.82</v>
      </c>
      <c r="H138" s="294">
        <f>H56</f>
        <v>9.82</v>
      </c>
      <c r="I138" s="321">
        <f>I56</f>
        <v>1.233809523809524</v>
      </c>
      <c r="J138" s="294">
        <f>J56</f>
        <v>-106.18</v>
      </c>
      <c r="K138" s="321">
        <f>K56</f>
        <v>0.3279746835443038</v>
      </c>
      <c r="L138" s="294">
        <f>L56</f>
        <v>0</v>
      </c>
      <c r="M138" s="294">
        <f>M56</f>
        <v>0</v>
      </c>
      <c r="N138" s="294">
        <f>N56</f>
        <v>0</v>
      </c>
      <c r="O138" s="294">
        <f>O56</f>
        <v>153.3</v>
      </c>
      <c r="P138" s="294">
        <f>P56</f>
        <v>4.699999999999989</v>
      </c>
      <c r="Q138" s="321">
        <f>Q56</f>
        <v>1.030658838878017</v>
      </c>
      <c r="R138" s="294">
        <f>R56</f>
        <v>82.8</v>
      </c>
      <c r="S138" s="294">
        <f>S56</f>
        <v>-30.979999999999997</v>
      </c>
      <c r="T138" s="321">
        <f>T56</f>
        <v>0.6258454106280193</v>
      </c>
      <c r="U138" s="294">
        <f>U56</f>
        <v>14</v>
      </c>
      <c r="V138" s="294">
        <f>V56</f>
        <v>0</v>
      </c>
      <c r="W138" s="294">
        <f>W56</f>
        <v>-14</v>
      </c>
      <c r="X138" s="306">
        <f>X56</f>
        <v>0</v>
      </c>
      <c r="Y138" s="325">
        <f t="shared" si="38"/>
        <v>-0.40481342824999755</v>
      </c>
      <c r="Z138" s="163"/>
    </row>
    <row r="139" spans="2:26" ht="30.75" hidden="1">
      <c r="B139" s="295" t="s">
        <v>34</v>
      </c>
      <c r="C139" s="296">
        <v>21080900</v>
      </c>
      <c r="D139" s="297">
        <f>D57</f>
        <v>13</v>
      </c>
      <c r="E139" s="297">
        <f>E57</f>
        <v>13</v>
      </c>
      <c r="F139" s="297">
        <f>F57</f>
        <v>5</v>
      </c>
      <c r="G139" s="297">
        <f>G57</f>
        <v>2.02</v>
      </c>
      <c r="H139" s="297">
        <f>H57</f>
        <v>-2.98</v>
      </c>
      <c r="I139" s="322">
        <f>I57</f>
        <v>0.404</v>
      </c>
      <c r="J139" s="297">
        <f>J57</f>
        <v>-10.98</v>
      </c>
      <c r="K139" s="322">
        <f>K57</f>
        <v>0.1553846153846154</v>
      </c>
      <c r="L139" s="297">
        <f>L57</f>
        <v>0</v>
      </c>
      <c r="M139" s="297">
        <f>M57</f>
        <v>0</v>
      </c>
      <c r="N139" s="297">
        <f>N57</f>
        <v>0</v>
      </c>
      <c r="O139" s="297">
        <f>O57</f>
        <v>12.95</v>
      </c>
      <c r="P139" s="297">
        <f>P57</f>
        <v>0.05000000000000071</v>
      </c>
      <c r="Q139" s="322">
        <f>Q57</f>
        <v>1.0038610038610039</v>
      </c>
      <c r="R139" s="297">
        <f>R57</f>
        <v>2.03</v>
      </c>
      <c r="S139" s="297">
        <f>S57</f>
        <v>-0.009999999999999787</v>
      </c>
      <c r="T139" s="322">
        <f>T57</f>
        <v>0</v>
      </c>
      <c r="U139" s="297">
        <f>U57</f>
        <v>1</v>
      </c>
      <c r="V139" s="297">
        <f>V57</f>
        <v>0</v>
      </c>
      <c r="W139" s="297">
        <f>W57</f>
        <v>-1</v>
      </c>
      <c r="X139" s="324">
        <f>X57</f>
        <v>0</v>
      </c>
      <c r="Y139" s="325">
        <f t="shared" si="38"/>
        <v>-1.0038610038610039</v>
      </c>
      <c r="Z139" s="163"/>
    </row>
    <row r="140" spans="2:26" ht="15" hidden="1">
      <c r="B140" s="291" t="s">
        <v>16</v>
      </c>
      <c r="C140" s="289">
        <v>21081100</v>
      </c>
      <c r="D140" s="290">
        <f>D58</f>
        <v>744</v>
      </c>
      <c r="E140" s="290">
        <f>E58</f>
        <v>744</v>
      </c>
      <c r="F140" s="290">
        <f>F58</f>
        <v>208.43</v>
      </c>
      <c r="G140" s="290">
        <f>G58</f>
        <v>226.76</v>
      </c>
      <c r="H140" s="290">
        <f>H58</f>
        <v>18.329999999999984</v>
      </c>
      <c r="I140" s="306">
        <f>I58</f>
        <v>1.087943194357818</v>
      </c>
      <c r="J140" s="290">
        <f>J58</f>
        <v>-517.24</v>
      </c>
      <c r="K140" s="306">
        <f>K58</f>
        <v>0.3047849462365591</v>
      </c>
      <c r="L140" s="290">
        <f>L58</f>
        <v>0</v>
      </c>
      <c r="M140" s="290">
        <f>M58</f>
        <v>0</v>
      </c>
      <c r="N140" s="290">
        <f>N58</f>
        <v>0</v>
      </c>
      <c r="O140" s="290">
        <f>O58</f>
        <v>705.31</v>
      </c>
      <c r="P140" s="290">
        <f>P58</f>
        <v>38.690000000000055</v>
      </c>
      <c r="Q140" s="306">
        <f>Q58</f>
        <v>1.0548553118486907</v>
      </c>
      <c r="R140" s="290">
        <f>R58</f>
        <v>394.48</v>
      </c>
      <c r="S140" s="290">
        <f>S58</f>
        <v>-167.72000000000003</v>
      </c>
      <c r="T140" s="306">
        <f>T58</f>
        <v>0.5748326911377002</v>
      </c>
      <c r="U140" s="290">
        <f>U58</f>
        <v>60</v>
      </c>
      <c r="V140" s="290">
        <f>V58</f>
        <v>2.1699999999999875</v>
      </c>
      <c r="W140" s="290">
        <f>W58</f>
        <v>-57.83000000000001</v>
      </c>
      <c r="X140" s="306">
        <f>X58</f>
        <v>0.03616666666666646</v>
      </c>
      <c r="Y140" s="325">
        <f t="shared" si="38"/>
        <v>-0.48002262071099056</v>
      </c>
      <c r="Z140" s="163"/>
    </row>
    <row r="141" spans="2:26" ht="46.5" hidden="1">
      <c r="B141" s="291" t="s">
        <v>67</v>
      </c>
      <c r="C141" s="289">
        <v>21081500</v>
      </c>
      <c r="D141" s="290">
        <f>D59</f>
        <v>115.5</v>
      </c>
      <c r="E141" s="290">
        <f>E59</f>
        <v>115.5</v>
      </c>
      <c r="F141" s="290">
        <f>F59</f>
        <v>30</v>
      </c>
      <c r="G141" s="290">
        <f>G59</f>
        <v>8.62</v>
      </c>
      <c r="H141" s="290">
        <f>H59</f>
        <v>-21.380000000000003</v>
      </c>
      <c r="I141" s="306">
        <f>I59</f>
        <v>0.28733333333333333</v>
      </c>
      <c r="J141" s="290">
        <f>J59</f>
        <v>-106.88</v>
      </c>
      <c r="K141" s="306">
        <f>K59</f>
        <v>0.07463203463203462</v>
      </c>
      <c r="L141" s="290">
        <f>L59</f>
        <v>0</v>
      </c>
      <c r="M141" s="290">
        <f>M59</f>
        <v>0</v>
      </c>
      <c r="N141" s="290">
        <f>N59</f>
        <v>0</v>
      </c>
      <c r="O141" s="290">
        <f>O59</f>
        <v>114.3</v>
      </c>
      <c r="P141" s="290">
        <f>P59</f>
        <v>1.2000000000000028</v>
      </c>
      <c r="Q141" s="306">
        <f>Q59</f>
        <v>1.010498687664042</v>
      </c>
      <c r="R141" s="290">
        <f>R59</f>
        <v>1.01</v>
      </c>
      <c r="S141" s="290">
        <f>S59</f>
        <v>7.609999999999999</v>
      </c>
      <c r="T141" s="306">
        <f>T59</f>
        <v>8.534653465346533</v>
      </c>
      <c r="U141" s="290">
        <f>U59</f>
        <v>10</v>
      </c>
      <c r="V141" s="290">
        <f>V59</f>
        <v>0</v>
      </c>
      <c r="W141" s="290">
        <f>W59</f>
        <v>-10</v>
      </c>
      <c r="X141" s="306">
        <f>X59</f>
        <v>0</v>
      </c>
      <c r="Y141" s="325">
        <f t="shared" si="38"/>
        <v>7.524154777682491</v>
      </c>
      <c r="Z141" s="163"/>
    </row>
    <row r="142" spans="2:26" ht="46.5" hidden="1">
      <c r="B142" s="291" t="s">
        <v>17</v>
      </c>
      <c r="C142" s="289" t="s">
        <v>18</v>
      </c>
      <c r="D142" s="290">
        <f>D71</f>
        <v>3</v>
      </c>
      <c r="E142" s="290">
        <f>E71</f>
        <v>3</v>
      </c>
      <c r="F142" s="290">
        <f>F71</f>
        <v>1.5</v>
      </c>
      <c r="G142" s="290">
        <f>G71</f>
        <v>0</v>
      </c>
      <c r="H142" s="290">
        <f>H71</f>
        <v>-1.5</v>
      </c>
      <c r="I142" s="306">
        <f>I71</f>
        <v>0</v>
      </c>
      <c r="J142" s="290">
        <f>J71</f>
        <v>-3</v>
      </c>
      <c r="K142" s="306">
        <f>K71</f>
        <v>0</v>
      </c>
      <c r="L142" s="290">
        <f>L71</f>
        <v>0</v>
      </c>
      <c r="M142" s="290">
        <f>M71</f>
        <v>0</v>
      </c>
      <c r="N142" s="290">
        <f>N71</f>
        <v>0</v>
      </c>
      <c r="O142" s="290">
        <f>O71</f>
        <v>2.04</v>
      </c>
      <c r="P142" s="290">
        <f>P71</f>
        <v>0.96</v>
      </c>
      <c r="Q142" s="306">
        <f>Q71</f>
        <v>1.4705882352941175</v>
      </c>
      <c r="R142" s="290">
        <f>R71</f>
        <v>2.04</v>
      </c>
      <c r="S142" s="290">
        <f>S71</f>
        <v>-2.04</v>
      </c>
      <c r="T142" s="306">
        <f>T71</f>
        <v>0</v>
      </c>
      <c r="U142" s="290">
        <f>U71</f>
        <v>0</v>
      </c>
      <c r="V142" s="290">
        <f>V71</f>
        <v>0</v>
      </c>
      <c r="W142" s="290">
        <f>W71</f>
        <v>0</v>
      </c>
      <c r="X142" s="306">
        <f>X71</f>
        <v>0</v>
      </c>
      <c r="Y142" s="325">
        <f t="shared" si="38"/>
        <v>-1.4705882352941175</v>
      </c>
      <c r="Z142" s="163"/>
    </row>
    <row r="143" spans="2:26" ht="30.75" hidden="1">
      <c r="B143" s="298" t="s">
        <v>39</v>
      </c>
      <c r="C143" s="289">
        <v>31010200</v>
      </c>
      <c r="D143" s="299">
        <f>D77</f>
        <v>35</v>
      </c>
      <c r="E143" s="299">
        <f>E77</f>
        <v>35</v>
      </c>
      <c r="F143" s="299">
        <f>F77</f>
        <v>12.47</v>
      </c>
      <c r="G143" s="299">
        <f>G77</f>
        <v>4.74</v>
      </c>
      <c r="H143" s="299">
        <f>H77</f>
        <v>-7.73</v>
      </c>
      <c r="I143" s="323">
        <f>I77</f>
        <v>0.38011226944667204</v>
      </c>
      <c r="J143" s="299">
        <f>J77</f>
        <v>-30.259999999999998</v>
      </c>
      <c r="K143" s="323">
        <f>K77</f>
        <v>0.13542857142857143</v>
      </c>
      <c r="L143" s="299">
        <f>L77</f>
        <v>0</v>
      </c>
      <c r="M143" s="299">
        <f>M77</f>
        <v>0</v>
      </c>
      <c r="N143" s="299">
        <f>N77</f>
        <v>0</v>
      </c>
      <c r="O143" s="299">
        <f>O77</f>
        <v>34.22</v>
      </c>
      <c r="P143" s="299">
        <f>P77</f>
        <v>0.7800000000000011</v>
      </c>
      <c r="Q143" s="323">
        <f>Q77</f>
        <v>1.0227936879018118</v>
      </c>
      <c r="R143" s="299">
        <f>R77</f>
        <v>16.85</v>
      </c>
      <c r="S143" s="299">
        <f>S77</f>
        <v>-12.110000000000001</v>
      </c>
      <c r="T143" s="323">
        <f>T77</f>
        <v>0.2813056379821958</v>
      </c>
      <c r="U143" s="299">
        <f>U77</f>
        <v>2.9000000000000004</v>
      </c>
      <c r="V143" s="299">
        <f>V77</f>
        <v>0</v>
      </c>
      <c r="W143" s="299">
        <f>W77</f>
        <v>-2.9000000000000004</v>
      </c>
      <c r="X143" s="323">
        <f>X77</f>
        <v>0</v>
      </c>
      <c r="Y143" s="325">
        <f t="shared" si="38"/>
        <v>-0.7414880499196159</v>
      </c>
      <c r="Z143" s="163"/>
    </row>
    <row r="144" spans="2:26" ht="30.75" hidden="1">
      <c r="B144" s="298" t="s">
        <v>49</v>
      </c>
      <c r="C144" s="289">
        <v>31020000</v>
      </c>
      <c r="D144" s="299">
        <f>D78</f>
        <v>0</v>
      </c>
      <c r="E144" s="299">
        <f>E78</f>
        <v>0</v>
      </c>
      <c r="F144" s="299">
        <f>F78</f>
        <v>0</v>
      </c>
      <c r="G144" s="299">
        <f>G78</f>
        <v>0.45</v>
      </c>
      <c r="H144" s="299">
        <f>H78</f>
        <v>0.45</v>
      </c>
      <c r="I144" s="323" t="e">
        <f>I78</f>
        <v>#DIV/0!</v>
      </c>
      <c r="J144" s="299">
        <f>J78</f>
        <v>0.45</v>
      </c>
      <c r="K144" s="323">
        <f>K78</f>
        <v>0</v>
      </c>
      <c r="L144" s="299">
        <f>L78</f>
        <v>0</v>
      </c>
      <c r="M144" s="299">
        <f>M78</f>
        <v>0</v>
      </c>
      <c r="N144" s="299">
        <f>N78</f>
        <v>0</v>
      </c>
      <c r="O144" s="299">
        <f>O78</f>
        <v>-4.86</v>
      </c>
      <c r="P144" s="299">
        <f>P78</f>
        <v>4.86</v>
      </c>
      <c r="Q144" s="323">
        <f>Q78</f>
        <v>0</v>
      </c>
      <c r="R144" s="299">
        <f>R78</f>
        <v>-5.25</v>
      </c>
      <c r="S144" s="299">
        <f>S78</f>
        <v>5.7</v>
      </c>
      <c r="T144" s="323">
        <f>T78</f>
        <v>-0.08571428571428572</v>
      </c>
      <c r="U144" s="299">
        <f>U78</f>
        <v>0</v>
      </c>
      <c r="V144" s="299">
        <f>V78</f>
        <v>0</v>
      </c>
      <c r="W144" s="299">
        <f>W78</f>
        <v>0</v>
      </c>
      <c r="X144" s="323">
        <f>X78</f>
        <v>0</v>
      </c>
      <c r="Y144" s="325">
        <f t="shared" si="38"/>
        <v>-0.08571428571428572</v>
      </c>
      <c r="Z144" s="163"/>
    </row>
    <row r="145" spans="4:26" ht="15" hidden="1">
      <c r="D145" s="302">
        <f>SUM(D136:D144)</f>
        <v>1304.1</v>
      </c>
      <c r="E145" s="302">
        <f>SUM(E136:E144)</f>
        <v>1304.1</v>
      </c>
      <c r="F145" s="302">
        <f>SUM(F136:F144)</f>
        <v>419.40000000000003</v>
      </c>
      <c r="G145" s="302">
        <f>SUM(G136:G144)</f>
        <v>488.65000000000003</v>
      </c>
      <c r="H145" s="302">
        <f>SUM(H136:H144)</f>
        <v>69.24999999999997</v>
      </c>
      <c r="I145" s="189">
        <f>G145/F145</f>
        <v>1.1651168335717692</v>
      </c>
      <c r="J145" s="302">
        <f>G145-E145</f>
        <v>-815.4499999999998</v>
      </c>
      <c r="K145" s="320">
        <f>G145/E145</f>
        <v>0.3747028602101066</v>
      </c>
      <c r="O145" s="302">
        <f>SUM(O136:O144)</f>
        <v>1238.34</v>
      </c>
      <c r="P145" s="302">
        <f>SUM(P136:P144)</f>
        <v>65.76000000000005</v>
      </c>
      <c r="Q145" s="189">
        <f>E145/O145</f>
        <v>1.053103348030428</v>
      </c>
      <c r="R145" s="302">
        <f>SUM(R136:R144)</f>
        <v>612.42</v>
      </c>
      <c r="S145" s="302">
        <f>SUM(S136:S144)</f>
        <v>-123.77000000000002</v>
      </c>
      <c r="T145" s="189">
        <f>G145/R145</f>
        <v>0.7979001338950394</v>
      </c>
      <c r="U145" s="302">
        <f>SUM(U136:U144)</f>
        <v>87.9</v>
      </c>
      <c r="V145" s="302">
        <f>SUM(V136:V144)</f>
        <v>2.1699999999999875</v>
      </c>
      <c r="W145" s="302">
        <f>SUM(W136:W144)</f>
        <v>-85.73000000000002</v>
      </c>
      <c r="X145" s="189">
        <f>V145/U145</f>
        <v>0.024687144482366183</v>
      </c>
      <c r="Y145" s="189">
        <f t="shared" si="38"/>
        <v>-0.2552032141353885</v>
      </c>
      <c r="Z145" s="163"/>
    </row>
    <row r="146" spans="4:25" ht="15" hidden="1">
      <c r="D146" s="4"/>
      <c r="F146" s="78"/>
      <c r="G146" s="4"/>
      <c r="Y146" s="189"/>
    </row>
    <row r="147" spans="2:25" ht="15" hidden="1">
      <c r="B147" s="303" t="s">
        <v>158</v>
      </c>
      <c r="D147" s="4"/>
      <c r="F147" s="78"/>
      <c r="G147" s="4"/>
      <c r="Y147" s="189"/>
    </row>
    <row r="148" spans="2:25" ht="30.75" hidden="1">
      <c r="B148" s="304" t="s">
        <v>89</v>
      </c>
      <c r="C148" s="305">
        <v>22010300</v>
      </c>
      <c r="D148" s="290">
        <f>D60</f>
        <v>1284</v>
      </c>
      <c r="E148" s="290">
        <f>E60</f>
        <v>1284</v>
      </c>
      <c r="F148" s="290">
        <f>F60</f>
        <v>384</v>
      </c>
      <c r="G148" s="290">
        <f>G60</f>
        <v>302.47</v>
      </c>
      <c r="H148" s="290">
        <f>H60</f>
        <v>-81.52999999999997</v>
      </c>
      <c r="I148" s="306">
        <f>I60</f>
        <v>0.7876822916666667</v>
      </c>
      <c r="J148" s="290">
        <f>J60</f>
        <v>-981.53</v>
      </c>
      <c r="K148" s="306">
        <f>K60</f>
        <v>0.23556853582554518</v>
      </c>
      <c r="L148" s="290">
        <f>L60</f>
        <v>0</v>
      </c>
      <c r="M148" s="290">
        <f>M60</f>
        <v>0</v>
      </c>
      <c r="N148" s="290">
        <f>N60</f>
        <v>0</v>
      </c>
      <c r="O148" s="290">
        <f>O60</f>
        <v>1205.14</v>
      </c>
      <c r="P148" s="290">
        <f>P60</f>
        <v>78.8599999999999</v>
      </c>
      <c r="Q148" s="306">
        <f>Q60</f>
        <v>1.0654363808354215</v>
      </c>
      <c r="R148" s="290">
        <f>R60</f>
        <v>393.47</v>
      </c>
      <c r="S148" s="290">
        <f>S60</f>
        <v>-91</v>
      </c>
      <c r="T148" s="306">
        <f>T60</f>
        <v>0.7687244262586729</v>
      </c>
      <c r="U148" s="290">
        <f>U60</f>
        <v>100</v>
      </c>
      <c r="V148" s="290">
        <f>V60</f>
        <v>22.140000000000043</v>
      </c>
      <c r="W148" s="290">
        <f>W60</f>
        <v>-77.85999999999996</v>
      </c>
      <c r="X148" s="306">
        <f>X60</f>
        <v>0.22140000000000043</v>
      </c>
      <c r="Y148" s="325">
        <f t="shared" si="38"/>
        <v>-0.2967119545767486</v>
      </c>
    </row>
    <row r="149" spans="2:25" ht="15" hidden="1">
      <c r="B149" s="304" t="s">
        <v>106</v>
      </c>
      <c r="C149" s="305">
        <v>22010200</v>
      </c>
      <c r="D149" s="290">
        <f>D61</f>
        <v>0</v>
      </c>
      <c r="E149" s="290">
        <f>E61</f>
        <v>0</v>
      </c>
      <c r="F149" s="290">
        <f>F61</f>
        <v>0</v>
      </c>
      <c r="G149" s="290">
        <f>G61</f>
        <v>0</v>
      </c>
      <c r="H149" s="290">
        <f>H61</f>
        <v>0</v>
      </c>
      <c r="I149" s="306" t="e">
        <f>I61</f>
        <v>#DIV/0!</v>
      </c>
      <c r="J149" s="290">
        <f>J61</f>
        <v>0</v>
      </c>
      <c r="K149" s="306" t="e">
        <f>K61</f>
        <v>#DIV/0!</v>
      </c>
      <c r="L149" s="290">
        <f>L61</f>
        <v>0</v>
      </c>
      <c r="M149" s="290">
        <f>M61</f>
        <v>0</v>
      </c>
      <c r="N149" s="290">
        <f>N61</f>
        <v>0</v>
      </c>
      <c r="O149" s="290">
        <f>O61</f>
        <v>23.38</v>
      </c>
      <c r="P149" s="290">
        <f>P61</f>
        <v>-23.38</v>
      </c>
      <c r="Q149" s="306">
        <f>Q61</f>
        <v>0</v>
      </c>
      <c r="R149" s="290">
        <f>R61</f>
        <v>0</v>
      </c>
      <c r="S149" s="290">
        <f>S61</f>
        <v>0</v>
      </c>
      <c r="T149" s="306">
        <f>T61</f>
        <v>0</v>
      </c>
      <c r="U149" s="290">
        <f>U61</f>
        <v>0</v>
      </c>
      <c r="V149" s="290">
        <f>V61</f>
        <v>0</v>
      </c>
      <c r="W149" s="290">
        <f>W61</f>
        <v>0</v>
      </c>
      <c r="X149" s="306" t="e">
        <f>X61</f>
        <v>#DIV/0!</v>
      </c>
      <c r="Y149" s="325">
        <f t="shared" si="38"/>
        <v>0</v>
      </c>
    </row>
    <row r="150" spans="2:25" ht="15" hidden="1">
      <c r="B150" s="307" t="s">
        <v>65</v>
      </c>
      <c r="C150" s="308">
        <v>22012500</v>
      </c>
      <c r="D150" s="309">
        <f>D62</f>
        <v>21260</v>
      </c>
      <c r="E150" s="309">
        <f>E62</f>
        <v>21260</v>
      </c>
      <c r="F150" s="309">
        <f>F62</f>
        <v>7490</v>
      </c>
      <c r="G150" s="309">
        <f>G62</f>
        <v>6557.24</v>
      </c>
      <c r="H150" s="309">
        <f>H62</f>
        <v>-932.7600000000002</v>
      </c>
      <c r="I150" s="310">
        <f>I62</f>
        <v>0.8754659546061415</v>
      </c>
      <c r="J150" s="309">
        <f>J62</f>
        <v>-14702.76</v>
      </c>
      <c r="K150" s="310">
        <f>K62</f>
        <v>0.3084308560677328</v>
      </c>
      <c r="L150" s="309">
        <f>L62</f>
        <v>0</v>
      </c>
      <c r="M150" s="309">
        <f>M62</f>
        <v>0</v>
      </c>
      <c r="N150" s="309">
        <f>N62</f>
        <v>0</v>
      </c>
      <c r="O150" s="309">
        <f>O62</f>
        <v>20110.14</v>
      </c>
      <c r="P150" s="309">
        <f>P62</f>
        <v>1149.8600000000006</v>
      </c>
      <c r="Q150" s="310">
        <f>Q62</f>
        <v>1.0571781200926498</v>
      </c>
      <c r="R150" s="309">
        <f>R62</f>
        <v>4681.51</v>
      </c>
      <c r="S150" s="309">
        <f>S62</f>
        <v>1875.7299999999996</v>
      </c>
      <c r="T150" s="310">
        <f>T62</f>
        <v>1.400667733274093</v>
      </c>
      <c r="U150" s="309">
        <f>U62</f>
        <v>1800</v>
      </c>
      <c r="V150" s="309">
        <f>V62</f>
        <v>355.3000000000002</v>
      </c>
      <c r="W150" s="309">
        <f>W62</f>
        <v>-1444.6999999999998</v>
      </c>
      <c r="X150" s="310">
        <f>X62</f>
        <v>0.197388888888889</v>
      </c>
      <c r="Y150" s="325">
        <f t="shared" si="38"/>
        <v>0.34348961318144333</v>
      </c>
    </row>
    <row r="151" spans="2:25" ht="30.75" hidden="1">
      <c r="B151" s="307" t="s">
        <v>86</v>
      </c>
      <c r="C151" s="308">
        <v>22012600</v>
      </c>
      <c r="D151" s="309">
        <f>D63</f>
        <v>767</v>
      </c>
      <c r="E151" s="309">
        <f>E63</f>
        <v>767</v>
      </c>
      <c r="F151" s="309">
        <f>F63</f>
        <v>249</v>
      </c>
      <c r="G151" s="309">
        <f>G63</f>
        <v>218.8</v>
      </c>
      <c r="H151" s="309">
        <f>H63</f>
        <v>-30.19999999999999</v>
      </c>
      <c r="I151" s="310">
        <f>I63</f>
        <v>0.8787148594377511</v>
      </c>
      <c r="J151" s="309">
        <f>J63</f>
        <v>-548.2</v>
      </c>
      <c r="K151" s="310">
        <f>K63</f>
        <v>0.2852672750977836</v>
      </c>
      <c r="L151" s="309">
        <f>L63</f>
        <v>0</v>
      </c>
      <c r="M151" s="309">
        <f>M63</f>
        <v>0</v>
      </c>
      <c r="N151" s="309">
        <f>N63</f>
        <v>0</v>
      </c>
      <c r="O151" s="309">
        <f>O63</f>
        <v>710.04</v>
      </c>
      <c r="P151" s="309">
        <f>P63</f>
        <v>56.960000000000036</v>
      </c>
      <c r="Q151" s="310">
        <f>Q63</f>
        <v>1.0802208326291478</v>
      </c>
      <c r="R151" s="309">
        <f>R63</f>
        <v>175.37</v>
      </c>
      <c r="S151" s="309">
        <f>S63</f>
        <v>43.43000000000001</v>
      </c>
      <c r="T151" s="310">
        <f>T63</f>
        <v>1.247647830301648</v>
      </c>
      <c r="U151" s="309">
        <f>U63</f>
        <v>64</v>
      </c>
      <c r="V151" s="309">
        <f>V63</f>
        <v>16.640000000000015</v>
      </c>
      <c r="W151" s="309">
        <f>W63</f>
        <v>-47.359999999999985</v>
      </c>
      <c r="X151" s="310">
        <f>X63</f>
        <v>0.26000000000000023</v>
      </c>
      <c r="Y151" s="325">
        <f t="shared" si="38"/>
        <v>0.16742699767250024</v>
      </c>
    </row>
    <row r="152" spans="2:25" ht="30.75" hidden="1">
      <c r="B152" s="307" t="s">
        <v>90</v>
      </c>
      <c r="C152" s="308">
        <v>22012900</v>
      </c>
      <c r="D152" s="309">
        <f>D64</f>
        <v>44</v>
      </c>
      <c r="E152" s="309">
        <f>E64</f>
        <v>44</v>
      </c>
      <c r="F152" s="309">
        <f>F64</f>
        <v>12</v>
      </c>
      <c r="G152" s="309">
        <f>G64</f>
        <v>13.06</v>
      </c>
      <c r="H152" s="309">
        <f>H64</f>
        <v>1.0600000000000005</v>
      </c>
      <c r="I152" s="310">
        <f>I64</f>
        <v>1.0883333333333334</v>
      </c>
      <c r="J152" s="309">
        <f>J64</f>
        <v>-30.939999999999998</v>
      </c>
      <c r="K152" s="310">
        <f>K64</f>
        <v>0.2968181818181818</v>
      </c>
      <c r="L152" s="309">
        <f>L64</f>
        <v>0</v>
      </c>
      <c r="M152" s="309">
        <f>M64</f>
        <v>0</v>
      </c>
      <c r="N152" s="309">
        <f>N64</f>
        <v>0</v>
      </c>
      <c r="O152" s="309">
        <f>O64</f>
        <v>41.44</v>
      </c>
      <c r="P152" s="309">
        <f>P64</f>
        <v>2.5600000000000023</v>
      </c>
      <c r="Q152" s="310">
        <f>Q64</f>
        <v>1.0617760617760619</v>
      </c>
      <c r="R152" s="309">
        <f>R64</f>
        <v>11.36</v>
      </c>
      <c r="S152" s="309">
        <f>S64</f>
        <v>1.700000000000001</v>
      </c>
      <c r="T152" s="310">
        <f>T64</f>
        <v>1.1496478873239437</v>
      </c>
      <c r="U152" s="309">
        <f>U64</f>
        <v>4</v>
      </c>
      <c r="V152" s="309">
        <f>V64</f>
        <v>5.300000000000001</v>
      </c>
      <c r="W152" s="309">
        <f>W64</f>
        <v>1.3000000000000007</v>
      </c>
      <c r="X152" s="310">
        <f>X64</f>
        <v>1.3250000000000002</v>
      </c>
      <c r="Y152" s="325">
        <f t="shared" si="38"/>
        <v>0.08787182554788187</v>
      </c>
    </row>
    <row r="153" spans="2:25" ht="15" hidden="1">
      <c r="B153" s="303" t="s">
        <v>158</v>
      </c>
      <c r="C153" s="311">
        <v>22010000</v>
      </c>
      <c r="D153" s="302">
        <f>SUM(D148:D152)</f>
        <v>23355</v>
      </c>
      <c r="E153" s="302">
        <f aca="true" t="shared" si="39" ref="E153:W153">SUM(E148:E152)</f>
        <v>23355</v>
      </c>
      <c r="F153" s="302">
        <f t="shared" si="39"/>
        <v>8135</v>
      </c>
      <c r="G153" s="302">
        <f t="shared" si="39"/>
        <v>7091.570000000001</v>
      </c>
      <c r="H153" s="302">
        <f t="shared" si="39"/>
        <v>-1043.4300000000003</v>
      </c>
      <c r="I153" s="189">
        <f>G153/F153</f>
        <v>0.8717357098955133</v>
      </c>
      <c r="J153" s="302">
        <f t="shared" si="39"/>
        <v>-16263.430000000002</v>
      </c>
      <c r="K153" s="189">
        <f>G153/E153</f>
        <v>0.303642474844787</v>
      </c>
      <c r="L153" s="302">
        <f t="shared" si="39"/>
        <v>0</v>
      </c>
      <c r="M153" s="302">
        <f t="shared" si="39"/>
        <v>0</v>
      </c>
      <c r="N153" s="302">
        <f t="shared" si="39"/>
        <v>0</v>
      </c>
      <c r="O153" s="302">
        <f t="shared" si="39"/>
        <v>22090.14</v>
      </c>
      <c r="P153" s="302">
        <f t="shared" si="39"/>
        <v>1264.8600000000006</v>
      </c>
      <c r="Q153" s="189">
        <f>E153/O153</f>
        <v>1.0572590304995804</v>
      </c>
      <c r="R153" s="302">
        <f t="shared" si="39"/>
        <v>5261.71</v>
      </c>
      <c r="S153" s="302">
        <f t="shared" si="39"/>
        <v>1829.8599999999997</v>
      </c>
      <c r="T153" s="189">
        <f>G153/R153</f>
        <v>1.347769071271507</v>
      </c>
      <c r="U153" s="302">
        <f t="shared" si="39"/>
        <v>1968</v>
      </c>
      <c r="V153" s="302">
        <f t="shared" si="39"/>
        <v>399.3800000000003</v>
      </c>
      <c r="W153" s="302">
        <f t="shared" si="39"/>
        <v>-1568.6199999999997</v>
      </c>
      <c r="X153" s="189">
        <f>V153/U153</f>
        <v>0.20293699186991884</v>
      </c>
      <c r="Y153" s="189">
        <f t="shared" si="38"/>
        <v>0.29051004077192655</v>
      </c>
    </row>
    <row r="154" spans="4:25" ht="15" hidden="1">
      <c r="D154" s="4"/>
      <c r="F154" s="78"/>
      <c r="G154" s="4"/>
      <c r="Y154" s="189"/>
    </row>
    <row r="155" spans="4:25" ht="15" hidden="1">
      <c r="D155" s="4"/>
      <c r="F155" s="78"/>
      <c r="G155" s="4"/>
      <c r="Y155" s="189"/>
    </row>
    <row r="156" spans="2:25" ht="15" hidden="1">
      <c r="B156" s="303" t="s">
        <v>159</v>
      </c>
      <c r="D156" s="4"/>
      <c r="F156" s="78"/>
      <c r="G156" s="4"/>
      <c r="Y156" s="189"/>
    </row>
    <row r="157" spans="2:25" ht="15" hidden="1">
      <c r="B157" s="312" t="s">
        <v>13</v>
      </c>
      <c r="C157" s="289" t="s">
        <v>19</v>
      </c>
      <c r="D157" s="301">
        <f>D72</f>
        <v>8170</v>
      </c>
      <c r="E157" s="301">
        <f>E72</f>
        <v>8170</v>
      </c>
      <c r="F157" s="301">
        <f>F72</f>
        <v>2608.65</v>
      </c>
      <c r="G157" s="301">
        <f>G72</f>
        <v>1701.23</v>
      </c>
      <c r="H157" s="301">
        <f>H72</f>
        <v>-907.4200000000001</v>
      </c>
      <c r="I157" s="300">
        <f>I72</f>
        <v>0.6521495792843042</v>
      </c>
      <c r="J157" s="301">
        <f>J72</f>
        <v>-6468.77</v>
      </c>
      <c r="K157" s="300">
        <f>K72</f>
        <v>0.20822888616891064</v>
      </c>
      <c r="L157" s="301">
        <f>L72</f>
        <v>0</v>
      </c>
      <c r="M157" s="301">
        <f>M72</f>
        <v>0</v>
      </c>
      <c r="N157" s="301">
        <f>N72</f>
        <v>0</v>
      </c>
      <c r="O157" s="301">
        <f>O72</f>
        <v>8086.92</v>
      </c>
      <c r="P157" s="301">
        <f>P72</f>
        <v>83.07999999999993</v>
      </c>
      <c r="Q157" s="300">
        <f>Q72</f>
        <v>1.0102733797292418</v>
      </c>
      <c r="R157" s="301">
        <f>R72</f>
        <v>3536.21</v>
      </c>
      <c r="S157" s="301">
        <f>S72</f>
        <v>-1834.98</v>
      </c>
      <c r="T157" s="300">
        <f>T72</f>
        <v>0.4810885100149595</v>
      </c>
      <c r="U157" s="301">
        <f>U72</f>
        <v>680</v>
      </c>
      <c r="V157" s="301">
        <f>V72</f>
        <v>202.52999999999997</v>
      </c>
      <c r="W157" s="301">
        <f>W72</f>
        <v>-477.47</v>
      </c>
      <c r="X157" s="300">
        <f>X72</f>
        <v>0.2978382352941176</v>
      </c>
      <c r="Y157" s="189">
        <f t="shared" si="38"/>
        <v>-0.5291848697142822</v>
      </c>
    </row>
    <row r="158" spans="2:25" ht="46.5" hidden="1">
      <c r="B158" s="312" t="s">
        <v>38</v>
      </c>
      <c r="C158" s="289">
        <v>24061900</v>
      </c>
      <c r="D158" s="301">
        <f>D76</f>
        <v>174.4</v>
      </c>
      <c r="E158" s="301">
        <f>E76</f>
        <v>174.4</v>
      </c>
      <c r="F158" s="301">
        <f>F76</f>
        <v>20</v>
      </c>
      <c r="G158" s="301">
        <f>G76</f>
        <v>0</v>
      </c>
      <c r="H158" s="301">
        <f>H76</f>
        <v>-20</v>
      </c>
      <c r="I158" s="300">
        <f>I76</f>
        <v>0</v>
      </c>
      <c r="J158" s="301">
        <f>J76</f>
        <v>-174.4</v>
      </c>
      <c r="K158" s="300">
        <f>K76</f>
        <v>0</v>
      </c>
      <c r="L158" s="301">
        <f>L76</f>
        <v>0</v>
      </c>
      <c r="M158" s="301">
        <f>M76</f>
        <v>0</v>
      </c>
      <c r="N158" s="301">
        <f>N76</f>
        <v>0</v>
      </c>
      <c r="O158" s="301">
        <f>O76</f>
        <v>142.18</v>
      </c>
      <c r="P158" s="301">
        <f>P76</f>
        <v>32.22</v>
      </c>
      <c r="Q158" s="300">
        <f>Q76</f>
        <v>1.2266141510761006</v>
      </c>
      <c r="R158" s="301">
        <f>R76</f>
        <v>54.64</v>
      </c>
      <c r="S158" s="301">
        <f>S76</f>
        <v>-54.64</v>
      </c>
      <c r="T158" s="300">
        <f>T76</f>
        <v>0</v>
      </c>
      <c r="U158" s="301">
        <f>U76</f>
        <v>20</v>
      </c>
      <c r="V158" s="301">
        <f>V76</f>
        <v>0</v>
      </c>
      <c r="W158" s="301">
        <f>W76</f>
        <v>-20</v>
      </c>
      <c r="X158" s="300">
        <f>X76</f>
        <v>0</v>
      </c>
      <c r="Y158" s="189">
        <f t="shared" si="38"/>
        <v>-1.2266141510761006</v>
      </c>
    </row>
    <row r="159" spans="2:25" ht="15" hidden="1">
      <c r="B159" s="303" t="s">
        <v>159</v>
      </c>
      <c r="C159" s="313">
        <v>24060000</v>
      </c>
      <c r="D159" s="302">
        <f>SUM(D157:D158)</f>
        <v>8344.4</v>
      </c>
      <c r="E159" s="302">
        <f aca="true" t="shared" si="40" ref="E159:W159">SUM(E157:E158)</f>
        <v>8344.4</v>
      </c>
      <c r="F159" s="302">
        <f t="shared" si="40"/>
        <v>2628.65</v>
      </c>
      <c r="G159" s="302">
        <f t="shared" si="40"/>
        <v>1701.23</v>
      </c>
      <c r="H159" s="302">
        <f t="shared" si="40"/>
        <v>-927.4200000000001</v>
      </c>
      <c r="I159" s="189">
        <f>G159/F159</f>
        <v>0.6471877199322846</v>
      </c>
      <c r="J159" s="302">
        <f t="shared" si="40"/>
        <v>-6643.17</v>
      </c>
      <c r="K159" s="189">
        <f>G159/E159</f>
        <v>0.20387685154115337</v>
      </c>
      <c r="L159" s="302">
        <f t="shared" si="40"/>
        <v>0</v>
      </c>
      <c r="M159" s="302">
        <f t="shared" si="40"/>
        <v>0</v>
      </c>
      <c r="N159" s="302">
        <f t="shared" si="40"/>
        <v>0</v>
      </c>
      <c r="O159" s="302">
        <f t="shared" si="40"/>
        <v>8229.1</v>
      </c>
      <c r="P159" s="302">
        <f t="shared" si="40"/>
        <v>115.29999999999993</v>
      </c>
      <c r="Q159" s="189">
        <f>E159/O159</f>
        <v>1.0140112527493892</v>
      </c>
      <c r="R159" s="302">
        <f t="shared" si="40"/>
        <v>3590.85</v>
      </c>
      <c r="S159" s="302">
        <f t="shared" si="40"/>
        <v>-1889.6200000000001</v>
      </c>
      <c r="T159" s="189">
        <f>G159/R159</f>
        <v>0.4737680493476475</v>
      </c>
      <c r="U159" s="302">
        <f t="shared" si="40"/>
        <v>700</v>
      </c>
      <c r="V159" s="302">
        <f t="shared" si="40"/>
        <v>202.52999999999997</v>
      </c>
      <c r="W159" s="302">
        <f t="shared" si="40"/>
        <v>-497.47</v>
      </c>
      <c r="X159" s="189">
        <f>V159/U159</f>
        <v>0.2893285714285714</v>
      </c>
      <c r="Y159" s="189">
        <f t="shared" si="38"/>
        <v>-0.5402432034017417</v>
      </c>
    </row>
    <row r="160" ht="15" hidden="1"/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E1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9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40" t="s">
        <v>180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46" t="s">
        <v>131</v>
      </c>
      <c r="E3" s="346" t="s">
        <v>179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177</v>
      </c>
      <c r="V3" s="353" t="s">
        <v>178</v>
      </c>
      <c r="W3" s="353"/>
      <c r="X3" s="353"/>
      <c r="Y3" s="194"/>
    </row>
    <row r="4" spans="1:24" ht="22.5" customHeight="1">
      <c r="A4" s="342"/>
      <c r="B4" s="344"/>
      <c r="C4" s="345"/>
      <c r="D4" s="346"/>
      <c r="E4" s="346"/>
      <c r="F4" s="354" t="s">
        <v>173</v>
      </c>
      <c r="G4" s="356" t="s">
        <v>31</v>
      </c>
      <c r="H4" s="358" t="s">
        <v>174</v>
      </c>
      <c r="I4" s="351" t="s">
        <v>175</v>
      </c>
      <c r="J4" s="358" t="s">
        <v>132</v>
      </c>
      <c r="K4" s="351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181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46"/>
      <c r="E5" s="346"/>
      <c r="F5" s="355"/>
      <c r="G5" s="357"/>
      <c r="H5" s="359"/>
      <c r="I5" s="352"/>
      <c r="J5" s="359"/>
      <c r="K5" s="352"/>
      <c r="L5" s="363" t="s">
        <v>135</v>
      </c>
      <c r="M5" s="364"/>
      <c r="N5" s="365"/>
      <c r="O5" s="366" t="s">
        <v>168</v>
      </c>
      <c r="P5" s="367"/>
      <c r="Q5" s="368"/>
      <c r="R5" s="369" t="s">
        <v>176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38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38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38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38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38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38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38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38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38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38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39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38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38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70"/>
      <c r="H106" s="370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70"/>
      <c r="H107" s="370"/>
      <c r="I107" s="267"/>
      <c r="J107" s="269"/>
    </row>
    <row r="108" spans="3:10" ht="15">
      <c r="C108" s="265"/>
      <c r="D108" s="4"/>
      <c r="F108" s="270"/>
      <c r="G108" s="371"/>
      <c r="H108" s="371"/>
      <c r="I108" s="271"/>
      <c r="J108" s="268"/>
    </row>
    <row r="109" spans="2:10" ht="16.5">
      <c r="B109" s="372" t="s">
        <v>148</v>
      </c>
      <c r="C109" s="373"/>
      <c r="D109" s="272"/>
      <c r="E109" s="314">
        <f>'[1]залишки'!$G$6/1000</f>
        <v>27.88</v>
      </c>
      <c r="F109" s="273" t="s">
        <v>149</v>
      </c>
      <c r="G109" s="370"/>
      <c r="H109" s="370"/>
      <c r="I109" s="274"/>
      <c r="J109" s="268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340" t="s">
        <v>171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46" t="s">
        <v>131</v>
      </c>
      <c r="E3" s="346" t="s">
        <v>131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141</v>
      </c>
      <c r="V3" s="353" t="s">
        <v>136</v>
      </c>
      <c r="W3" s="353"/>
      <c r="X3" s="353"/>
      <c r="Y3" s="194"/>
    </row>
    <row r="4" spans="1:24" ht="22.5" customHeight="1">
      <c r="A4" s="342"/>
      <c r="B4" s="344"/>
      <c r="C4" s="345"/>
      <c r="D4" s="346"/>
      <c r="E4" s="346"/>
      <c r="F4" s="354" t="s">
        <v>139</v>
      </c>
      <c r="G4" s="356" t="s">
        <v>31</v>
      </c>
      <c r="H4" s="358" t="s">
        <v>129</v>
      </c>
      <c r="I4" s="351" t="s">
        <v>130</v>
      </c>
      <c r="J4" s="358" t="s">
        <v>132</v>
      </c>
      <c r="K4" s="351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172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46"/>
      <c r="E5" s="346"/>
      <c r="F5" s="355"/>
      <c r="G5" s="357"/>
      <c r="H5" s="359"/>
      <c r="I5" s="352"/>
      <c r="J5" s="359"/>
      <c r="K5" s="352"/>
      <c r="L5" s="363" t="s">
        <v>135</v>
      </c>
      <c r="M5" s="364"/>
      <c r="N5" s="365"/>
      <c r="O5" s="366" t="s">
        <v>168</v>
      </c>
      <c r="P5" s="367"/>
      <c r="Q5" s="368"/>
      <c r="R5" s="369" t="s">
        <v>167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70"/>
      <c r="H106" s="370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70"/>
      <c r="H107" s="370"/>
      <c r="I107" s="267"/>
      <c r="J107" s="269"/>
    </row>
    <row r="108" spans="3:10" ht="15" hidden="1">
      <c r="C108" s="265"/>
      <c r="D108" s="4"/>
      <c r="F108" s="270"/>
      <c r="G108" s="371"/>
      <c r="H108" s="371"/>
      <c r="I108" s="271"/>
      <c r="J108" s="268"/>
    </row>
    <row r="109" spans="2:10" ht="16.5" hidden="1">
      <c r="B109" s="372" t="s">
        <v>148</v>
      </c>
      <c r="C109" s="373"/>
      <c r="D109" s="272"/>
      <c r="E109" s="314">
        <v>144.8304</v>
      </c>
      <c r="F109" s="273" t="s">
        <v>149</v>
      </c>
      <c r="G109" s="370"/>
      <c r="H109" s="370"/>
      <c r="I109" s="274"/>
      <c r="J109" s="268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40" t="s">
        <v>128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77" t="s">
        <v>131</v>
      </c>
      <c r="E3" s="346" t="s">
        <v>131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140</v>
      </c>
      <c r="V3" s="353" t="s">
        <v>124</v>
      </c>
      <c r="W3" s="353"/>
      <c r="X3" s="353"/>
      <c r="Y3" s="194"/>
    </row>
    <row r="4" spans="1:24" ht="22.5" customHeight="1">
      <c r="A4" s="342"/>
      <c r="B4" s="344"/>
      <c r="C4" s="345"/>
      <c r="D4" s="378"/>
      <c r="E4" s="346"/>
      <c r="F4" s="354" t="s">
        <v>138</v>
      </c>
      <c r="G4" s="356" t="s">
        <v>31</v>
      </c>
      <c r="H4" s="358" t="s">
        <v>122</v>
      </c>
      <c r="I4" s="351" t="s">
        <v>123</v>
      </c>
      <c r="J4" s="358" t="s">
        <v>132</v>
      </c>
      <c r="K4" s="351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137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79"/>
      <c r="E5" s="346"/>
      <c r="F5" s="355"/>
      <c r="G5" s="357"/>
      <c r="H5" s="359"/>
      <c r="I5" s="352"/>
      <c r="J5" s="359"/>
      <c r="K5" s="352"/>
      <c r="L5" s="363" t="s">
        <v>109</v>
      </c>
      <c r="M5" s="364"/>
      <c r="N5" s="365"/>
      <c r="O5" s="374" t="s">
        <v>125</v>
      </c>
      <c r="P5" s="375"/>
      <c r="Q5" s="376"/>
      <c r="R5" s="369" t="s">
        <v>127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70"/>
      <c r="H106" s="370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70"/>
      <c r="H107" s="370"/>
      <c r="I107" s="267"/>
      <c r="J107" s="269"/>
      <c r="Y107" s="199"/>
    </row>
    <row r="108" spans="3:25" ht="15">
      <c r="C108" s="265"/>
      <c r="D108" s="4"/>
      <c r="F108" s="270"/>
      <c r="G108" s="371"/>
      <c r="H108" s="371"/>
      <c r="I108" s="271"/>
      <c r="J108" s="268"/>
      <c r="Y108" s="199"/>
    </row>
    <row r="109" spans="2:25" ht="16.5">
      <c r="B109" s="372" t="s">
        <v>148</v>
      </c>
      <c r="C109" s="372"/>
      <c r="D109" s="272"/>
      <c r="E109" s="272">
        <f>3396166.95/1000</f>
        <v>3396.1669500000003</v>
      </c>
      <c r="F109" s="273" t="s">
        <v>149</v>
      </c>
      <c r="G109" s="370"/>
      <c r="H109" s="370"/>
      <c r="I109" s="274"/>
      <c r="J109" s="268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2018-04-05T12:52:41Z</cp:lastPrinted>
  <dcterms:created xsi:type="dcterms:W3CDTF">2003-07-28T11:27:56Z</dcterms:created>
  <dcterms:modified xsi:type="dcterms:W3CDTF">2018-04-05T13:02:59Z</dcterms:modified>
  <cp:category/>
  <cp:version/>
  <cp:contentType/>
  <cp:contentStatus/>
</cp:coreProperties>
</file>